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NIPUL" sheetId="1" r:id="rId1"/>
  </sheets>
  <definedNames/>
  <calcPr fullCalcOnLoad="1"/>
</workbook>
</file>

<file path=xl/sharedStrings.xml><?xml version="1.0" encoding="utf-8"?>
<sst xmlns="http://schemas.openxmlformats.org/spreadsheetml/2006/main" count="376" uniqueCount="108">
  <si>
    <t>CAS NIPUL (CORRIGE)</t>
  </si>
  <si>
    <t>Caractéristiques du projet d'investissement :</t>
  </si>
  <si>
    <t>Taux d'imposition sur les bénéfices</t>
  </si>
  <si>
    <t>Taux d'impsition des plus-values à court terme</t>
  </si>
  <si>
    <t>Taux d'imposition des plus-values à long terme</t>
  </si>
  <si>
    <t>Modes de financement du projet</t>
  </si>
  <si>
    <t xml:space="preserve">Fonds propres </t>
  </si>
  <si>
    <t>Dettes financières</t>
  </si>
  <si>
    <t>Autofinancement</t>
  </si>
  <si>
    <t>Taux de rentabilité des fonds propres</t>
  </si>
  <si>
    <t xml:space="preserve">Taux de rentabilité des dettes financières </t>
  </si>
  <si>
    <t>Taux de rentabilité de l'autofinancement</t>
  </si>
  <si>
    <t>Coût des fonds propres</t>
  </si>
  <si>
    <t>Coût des dettes financières</t>
  </si>
  <si>
    <t>Coût de l'autofinancement</t>
  </si>
  <si>
    <t xml:space="preserve">Taux d'intérêt nominal </t>
  </si>
  <si>
    <t>Coût moyen du capital =</t>
  </si>
  <si>
    <t>Taux de rentabilité d'exploitation</t>
  </si>
  <si>
    <t>Taux annuel de placement</t>
  </si>
  <si>
    <t>CALCUL DES FLUX NETS DE TRESORERIE D'EXPLOITATION (Hypothèse :l'entreprise fait des bénéfices, affiche des plus-values et pratique l'amortissement linéaire)</t>
  </si>
  <si>
    <t>INVESTISSEMENT</t>
  </si>
  <si>
    <t>PAS D'INV.</t>
  </si>
  <si>
    <t>CAS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</si>
  <si>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</si>
  <si>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</si>
  <si>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</si>
  <si>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</si>
  <si>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</si>
  <si>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</si>
  <si>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</si>
  <si>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</si>
  <si>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</si>
  <si>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</si>
  <si>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</si>
  <si>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</si>
  <si>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-</t>
  </si>
  <si>
    <t>Chiffre d'affaires (CA)</t>
  </si>
  <si>
    <t>MSCV (40%xCA)</t>
  </si>
  <si>
    <t>Coûts fixes hors dot)</t>
  </si>
  <si>
    <t>Dotations aux Amort.</t>
  </si>
  <si>
    <t>Résultat avant impôt</t>
  </si>
  <si>
    <t>Report fiscal des déficits</t>
  </si>
  <si>
    <t>Résulat fiscal brut</t>
  </si>
  <si>
    <t>Impôt sur les Bénéfices</t>
  </si>
  <si>
    <t>Résultat net comptable</t>
  </si>
  <si>
    <t>Dotations aux Am.</t>
  </si>
  <si>
    <t>Cash Flow d'exploitation</t>
  </si>
  <si>
    <t>FNT Exploitation</t>
  </si>
  <si>
    <t>Tableau des flux nets de trésorerie annuels (Cas N°1)</t>
  </si>
  <si>
    <t>Années</t>
  </si>
  <si>
    <t>Investissement technique</t>
  </si>
  <si>
    <t>Variation du BFN permanent</t>
  </si>
  <si>
    <t>Sorties nettes de trésorerie</t>
  </si>
  <si>
    <t>Cession de l'ancien matériel</t>
  </si>
  <si>
    <t>Economie fiscales sur cession de l'ancien matériel</t>
  </si>
  <si>
    <t>l'ancien matériel</t>
  </si>
  <si>
    <t>Cession nette à terme du nouveau matériel</t>
  </si>
  <si>
    <t>Récupération à terme du cumul des BFN permanents</t>
  </si>
  <si>
    <t>FNT d'exploitation</t>
  </si>
  <si>
    <t>Rentrées nettes de trésorerie</t>
  </si>
  <si>
    <t>Flux nets de trésorerie</t>
  </si>
  <si>
    <t>Valeur Actuelle Nette =</t>
  </si>
  <si>
    <t>Valeur Actuelle Nette Intégrée =</t>
  </si>
  <si>
    <t>VAN de Base =</t>
  </si>
  <si>
    <t>Taux Interne de Rentabilité =</t>
  </si>
  <si>
    <t>Taux Interne de Rentabilité Intégré =</t>
  </si>
  <si>
    <t>VAN de Financement =</t>
  </si>
  <si>
    <t>Délai de Récupération Simple =</t>
  </si>
  <si>
    <t>Délai de Récupération Intégré =</t>
  </si>
  <si>
    <t>VAN optionnelle =</t>
  </si>
  <si>
    <t>Délai de Récupération Actualisé =</t>
  </si>
  <si>
    <t>Délai de Récupération Actualisé Intégré</t>
  </si>
  <si>
    <t>VAN ajustée =</t>
  </si>
  <si>
    <t>Tableau des flux nets de trésorerie annuels (Cas N°2)</t>
  </si>
  <si>
    <t>Tableau des flux nets de trésorerie annuels (Cas N°3)</t>
  </si>
  <si>
    <t>Tableau des flux nets de trésorerie annuels (Cas N°4)</t>
  </si>
  <si>
    <t>Tableau des flux nets de trésorerie annuels (Cas N°5)</t>
  </si>
  <si>
    <t>Tableau des flux nets de trésorerie annuels (Cas N°6)</t>
  </si>
  <si>
    <t>Tableau des flux nets de trésorerie annuels (Cas N°7)</t>
  </si>
  <si>
    <t>Tableau des flux nets de trésorerie annuels (Cas N°8)</t>
  </si>
  <si>
    <t>Tableau des flux nets de trésorerie annuels (Cas N°9)</t>
  </si>
  <si>
    <t>Tableau des flux nets de trésorerie annuels (Cas N°10)</t>
  </si>
  <si>
    <t>Tableau des flux nets de trésorerie annuels (Cas N°11)</t>
  </si>
  <si>
    <t>Tableau des flux nets de trésorerie annuels (Cas N°12)</t>
  </si>
  <si>
    <t>RESUME</t>
  </si>
  <si>
    <t>Probabilité d'occurence</t>
  </si>
  <si>
    <t>Valeur Actuelle nette</t>
  </si>
  <si>
    <t>VAN probabilisée</t>
  </si>
  <si>
    <t>pi*((VANi-E[VAN]**2)</t>
  </si>
  <si>
    <t>pi*((VANi-E[VAN]**2);ECART&lt;0</t>
  </si>
  <si>
    <t>pi*((VANi-E[VAN]**2);ECART&gt;0</t>
  </si>
  <si>
    <t>Taux Interne de Rentabilité</t>
  </si>
  <si>
    <t>TIR probabilisé</t>
  </si>
  <si>
    <t>pi*((TIRi-E[TIR]**2)</t>
  </si>
  <si>
    <t>pi*((TIRi-E[TIR]**2);ECART&lt;0</t>
  </si>
  <si>
    <t>pi*((TIRi-E[TIR]**2);ECART&gt;0</t>
  </si>
  <si>
    <t>VAN ajustée</t>
  </si>
  <si>
    <t>VAN Ajustée Probabilisée</t>
  </si>
  <si>
    <t>pi*((VANAi-E[VANA]**2)</t>
  </si>
  <si>
    <t>pi*((VANAi-E[VANA]**2)  ;ECART&lt;0</t>
  </si>
  <si>
    <t>pi*((VANAi-E[VANA]**2)  ;ECART&gt;0</t>
  </si>
  <si>
    <t xml:space="preserve">CRITERES </t>
  </si>
  <si>
    <t xml:space="preserve">MOYENNE </t>
  </si>
  <si>
    <t>ECART-TYPE</t>
  </si>
  <si>
    <t>SEMI-ECART-TYPE-NEGATIF</t>
  </si>
  <si>
    <t>SEMI-ECART-TYPE-POSITIF</t>
  </si>
  <si>
    <t>Valeur Actuelle Nette</t>
  </si>
  <si>
    <t>Valeur Actuelle Nette Ajustée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</si>
</sst>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##,###.00\ &quot;F&quot;"/>
    <numFmt numFmtId="165" formatCode="0.00000%"/>
    <numFmt numFmtId="166" formatCode="###,###.##"/>
    <numFmt numFmtId="167" formatCode="#,##0.00\ _F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1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4" xfId="0" applyBorder="1" applyAlignment="1">
      <alignment/>
    </xf>
    <xf numFmtId="1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Continuous"/>
    </xf>
    <xf numFmtId="164" fontId="0" fillId="0" borderId="0" xfId="0" applyNumberFormat="1" applyAlignment="1">
      <alignment/>
    </xf>
    <xf numFmtId="0" fontId="0" fillId="0" borderId="20" xfId="0" applyBorder="1" applyAlignment="1" quotePrefix="1">
      <alignment horizontal="left"/>
    </xf>
    <xf numFmtId="0" fontId="0" fillId="0" borderId="5" xfId="0" applyBorder="1" applyAlignment="1">
      <alignment horizontal="justify"/>
    </xf>
    <xf numFmtId="0" fontId="0" fillId="0" borderId="15" xfId="0" applyBorder="1" applyAlignment="1">
      <alignment horizontal="justify"/>
    </xf>
    <xf numFmtId="0" fontId="0" fillId="0" borderId="20" xfId="0" applyBorder="1" applyAlignment="1">
      <alignment horizontal="justify"/>
    </xf>
    <xf numFmtId="0" fontId="0" fillId="0" borderId="18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13" xfId="0" applyBorder="1" applyAlignment="1">
      <alignment horizontal="justify"/>
    </xf>
    <xf numFmtId="0" fontId="1" fillId="0" borderId="21" xfId="0" applyFont="1" applyBorder="1" applyAlignment="1">
      <alignment horizontal="justify"/>
    </xf>
    <xf numFmtId="0" fontId="0" fillId="0" borderId="16" xfId="0" applyBorder="1" applyAlignment="1">
      <alignment horizontal="justify"/>
    </xf>
    <xf numFmtId="0" fontId="0" fillId="0" borderId="20" xfId="0" applyBorder="1" applyAlignment="1" quotePrefix="1">
      <alignment horizontal="justify"/>
    </xf>
    <xf numFmtId="0" fontId="0" fillId="0" borderId="2" xfId="0" applyBorder="1" applyAlignment="1" quotePrefix="1">
      <alignment horizontal="justify"/>
    </xf>
    <xf numFmtId="0" fontId="1" fillId="0" borderId="22" xfId="0" applyFont="1" applyBorder="1" applyAlignment="1" quotePrefix="1">
      <alignment horizontal="justify"/>
    </xf>
    <xf numFmtId="0" fontId="0" fillId="0" borderId="14" xfId="0" applyBorder="1" applyAlignment="1">
      <alignment horizontal="justify"/>
    </xf>
    <xf numFmtId="0" fontId="0" fillId="0" borderId="23" xfId="0" applyBorder="1" applyAlignment="1" quotePrefix="1">
      <alignment horizontal="left"/>
    </xf>
    <xf numFmtId="0" fontId="0" fillId="0" borderId="24" xfId="0" applyBorder="1" applyAlignment="1">
      <alignment horizontal="justify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7" xfId="0" applyBorder="1" applyAlignment="1" quotePrefix="1">
      <alignment horizontal="left"/>
    </xf>
    <xf numFmtId="165" fontId="0" fillId="0" borderId="13" xfId="0" applyNumberFormat="1" applyBorder="1" applyAlignment="1">
      <alignment horizontal="center"/>
    </xf>
    <xf numFmtId="0" fontId="0" fillId="0" borderId="28" xfId="0" applyBorder="1" applyAlignment="1" quotePrefix="1">
      <alignment horizontal="left"/>
    </xf>
    <xf numFmtId="0" fontId="0" fillId="0" borderId="29" xfId="0" applyBorder="1" applyAlignment="1">
      <alignment/>
    </xf>
    <xf numFmtId="165" fontId="0" fillId="0" borderId="3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0" fontId="0" fillId="0" borderId="7" xfId="0" applyBorder="1" applyAlignment="1">
      <alignment horizontal="centerContinuous"/>
    </xf>
    <xf numFmtId="164" fontId="0" fillId="0" borderId="10" xfId="0" applyNumberForma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165" fontId="0" fillId="0" borderId="10" xfId="0" applyNumberFormat="1" applyBorder="1" applyAlignment="1">
      <alignment horizontal="centerContinuous"/>
    </xf>
    <xf numFmtId="164" fontId="0" fillId="0" borderId="33" xfId="0" applyNumberForma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166" fontId="0" fillId="0" borderId="31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5" xfId="0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"/>
  <sheetViews>
    <sheetView tabSelected="1" zoomScale="75" zoomScaleNormal="75" workbookViewId="0" topLeftCell="A265">
      <selection activeCell="E300" sqref="E300"/>
    </sheetView>
  </sheetViews>
  <sheetFormatPr defaultColWidth="11.421875" defaultRowHeight="12.75"/>
  <cols>
    <col min="1" max="1" width="34.140625" style="0" customWidth="1"/>
    <col min="2" max="3" width="15.57421875" style="2" customWidth="1"/>
    <col min="4" max="4" width="15.8515625" style="2" customWidth="1"/>
    <col min="5" max="5" width="15.7109375" style="2" customWidth="1"/>
    <col min="6" max="6" width="16.57421875" style="2" customWidth="1"/>
    <col min="7" max="7" width="16.140625" style="2" customWidth="1"/>
    <col min="8" max="8" width="15.7109375" style="2" customWidth="1"/>
    <col min="9" max="9" width="15.421875" style="2" customWidth="1"/>
    <col min="10" max="10" width="15.57421875" style="2" customWidth="1"/>
    <col min="11" max="11" width="16.57421875" style="2" customWidth="1"/>
    <col min="12" max="12" width="15.421875" style="2" customWidth="1"/>
    <col min="13" max="13" width="16.8515625" style="2" customWidth="1"/>
    <col min="14" max="14" width="11.28125" style="2" customWidth="1"/>
    <col min="15" max="15" width="1.57421875" style="0" customWidth="1"/>
  </cols>
  <sheetData>
    <row r="1" spans="1:14" ht="15" customHeight="1">
      <c r="A1" s="3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9" ht="12.75">
      <c r="A3" s="23" t="s">
        <v>1</v>
      </c>
      <c r="E3" s="21"/>
      <c r="I3" s="21"/>
    </row>
    <row r="4" spans="5:9" ht="12.75">
      <c r="E4" s="21"/>
      <c r="I4" s="21"/>
    </row>
    <row r="5" spans="1:14" ht="12.75">
      <c r="A5" t="s">
        <v>2</v>
      </c>
      <c r="C5" s="4">
        <f>1/3</f>
        <v>0.3333333333333333</v>
      </c>
      <c r="D5"/>
      <c r="F5" s="2">
        <f>6*0.88128071/7</f>
        <v>0.7553834657142857</v>
      </c>
      <c r="G5" s="52">
        <f>(0.035*F5)+0.06</f>
        <v>0.0864384213</v>
      </c>
      <c r="H5" s="21"/>
      <c r="M5"/>
      <c r="N5"/>
    </row>
    <row r="6" spans="1:14" ht="12.75">
      <c r="A6" t="s">
        <v>3</v>
      </c>
      <c r="C6" s="4">
        <f>1/3</f>
        <v>0.3333333333333333</v>
      </c>
      <c r="D6" s="55"/>
      <c r="E6" s="55"/>
      <c r="F6" s="52"/>
      <c r="G6" s="52"/>
      <c r="H6" s="55"/>
      <c r="I6" s="52"/>
      <c r="J6" s="52"/>
      <c r="K6" s="52"/>
      <c r="L6" s="52"/>
      <c r="M6"/>
      <c r="N6"/>
    </row>
    <row r="7" spans="1:14" ht="12.75">
      <c r="A7" t="s">
        <v>4</v>
      </c>
      <c r="C7" s="4">
        <v>0.15</v>
      </c>
      <c r="D7" s="56"/>
      <c r="E7" s="52"/>
      <c r="F7" s="52"/>
      <c r="G7" s="52"/>
      <c r="H7" s="55"/>
      <c r="I7" s="52"/>
      <c r="J7" s="52"/>
      <c r="K7" s="52"/>
      <c r="L7" s="52"/>
      <c r="M7"/>
      <c r="N7"/>
    </row>
    <row r="8" spans="3:14" ht="12.75">
      <c r="C8" s="4"/>
      <c r="D8" s="56"/>
      <c r="E8" s="52"/>
      <c r="F8" s="52"/>
      <c r="G8" s="52"/>
      <c r="H8" s="56"/>
      <c r="I8" s="52"/>
      <c r="J8" s="52"/>
      <c r="K8" s="52"/>
      <c r="L8" s="52"/>
      <c r="M8"/>
      <c r="N8"/>
    </row>
    <row r="9" spans="1:14" ht="12.75">
      <c r="A9" s="23" t="s">
        <v>5</v>
      </c>
      <c r="C9" s="4"/>
      <c r="D9" s="21"/>
      <c r="G9" s="22"/>
      <c r="H9" s="21"/>
      <c r="J9" s="22"/>
      <c r="M9"/>
      <c r="N9"/>
    </row>
    <row r="10" spans="3:14" ht="12.75">
      <c r="C10" s="4"/>
      <c r="D10" s="21"/>
      <c r="G10" s="22"/>
      <c r="H10" s="21"/>
      <c r="J10" s="22"/>
      <c r="M10"/>
      <c r="N10"/>
    </row>
    <row r="11" spans="1:14" ht="12.75">
      <c r="A11" s="3" t="s">
        <v>6</v>
      </c>
      <c r="C11" s="54">
        <v>0.8</v>
      </c>
      <c r="D11" s="21" t="s">
        <v>7</v>
      </c>
      <c r="G11" s="54">
        <v>0.2</v>
      </c>
      <c r="H11" s="21" t="s">
        <v>8</v>
      </c>
      <c r="J11"/>
      <c r="K11" s="54">
        <v>0</v>
      </c>
      <c r="M11"/>
      <c r="N11"/>
    </row>
    <row r="12" spans="1:14" ht="12.75">
      <c r="A12" s="21" t="s">
        <v>9</v>
      </c>
      <c r="C12" s="54">
        <v>0.09084483</v>
      </c>
      <c r="D12" s="21" t="s">
        <v>10</v>
      </c>
      <c r="G12" s="54">
        <v>0.09</v>
      </c>
      <c r="H12" t="s">
        <v>11</v>
      </c>
      <c r="I12"/>
      <c r="J12"/>
      <c r="K12" s="54">
        <v>0</v>
      </c>
      <c r="M12"/>
      <c r="N12"/>
    </row>
    <row r="13" spans="1:14" ht="12.75">
      <c r="A13" s="21" t="s">
        <v>12</v>
      </c>
      <c r="C13" s="54">
        <v>0.09084483</v>
      </c>
      <c r="D13" s="21" t="s">
        <v>13</v>
      </c>
      <c r="G13" s="54">
        <v>0.0616207</v>
      </c>
      <c r="H13" t="s">
        <v>14</v>
      </c>
      <c r="I13"/>
      <c r="J13"/>
      <c r="K13" s="54">
        <v>0</v>
      </c>
      <c r="M13"/>
      <c r="N13"/>
    </row>
    <row r="14" spans="2:14" ht="12.75">
      <c r="B14"/>
      <c r="C14"/>
      <c r="D14" s="3" t="s">
        <v>15</v>
      </c>
      <c r="G14" s="54">
        <v>0.09</v>
      </c>
      <c r="H14"/>
      <c r="I14"/>
      <c r="J14"/>
      <c r="K14" s="52"/>
      <c r="M14"/>
      <c r="N14"/>
    </row>
    <row r="15" spans="1:14" ht="12.75">
      <c r="A15" s="21" t="s">
        <v>16</v>
      </c>
      <c r="C15" s="54">
        <f>(C13*C11+G13*G11+K13*K11)</f>
        <v>0.085000004</v>
      </c>
      <c r="D15" s="21" t="s">
        <v>17</v>
      </c>
      <c r="F15" s="22"/>
      <c r="G15" s="54">
        <v>0.0864384</v>
      </c>
      <c r="H15" s="3" t="s">
        <v>18</v>
      </c>
      <c r="J15"/>
      <c r="K15" s="54">
        <v>0.08</v>
      </c>
      <c r="L15"/>
      <c r="M15"/>
      <c r="N15"/>
    </row>
    <row r="16" spans="1:14" ht="12.75">
      <c r="A16" s="21"/>
      <c r="C16" s="52"/>
      <c r="F16" s="22"/>
      <c r="G16" s="21"/>
      <c r="I16" s="22"/>
      <c r="J16" s="22"/>
      <c r="L16"/>
      <c r="M16"/>
      <c r="N16"/>
    </row>
    <row r="17" ht="12.75">
      <c r="A17" s="23" t="s">
        <v>19</v>
      </c>
    </row>
    <row r="18" ht="13.5" thickBot="1"/>
    <row r="19" spans="1:14" ht="14.25" thickBot="1" thickTop="1">
      <c r="A19" s="10" t="s">
        <v>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2" t="s">
        <v>21</v>
      </c>
    </row>
    <row r="20" spans="1:14" s="2" customFormat="1" ht="13.5" thickBot="1">
      <c r="A20" s="9" t="s">
        <v>22</v>
      </c>
      <c r="B20" s="13" t="s">
        <v>23</v>
      </c>
      <c r="C20" s="13" t="s">
        <v>24</v>
      </c>
      <c r="D20" s="13" t="s">
        <v>25</v>
      </c>
      <c r="E20" s="13" t="s">
        <v>26</v>
      </c>
      <c r="F20" s="13" t="s">
        <v>27</v>
      </c>
      <c r="G20" s="13" t="s">
        <v>28</v>
      </c>
      <c r="H20" s="13" t="s">
        <v>29</v>
      </c>
      <c r="I20" s="13" t="s">
        <v>30</v>
      </c>
      <c r="J20" s="13" t="s">
        <v>31</v>
      </c>
      <c r="K20" s="13" t="s">
        <v>32</v>
      </c>
      <c r="L20" s="13" t="s">
        <v>33</v>
      </c>
      <c r="M20" s="13" t="s">
        <v>34</v>
      </c>
      <c r="N20" s="14" t="s">
        <v>35</v>
      </c>
    </row>
    <row r="21" spans="1:14" ht="13.5" thickTop="1">
      <c r="A21" s="6" t="s">
        <v>36</v>
      </c>
      <c r="B21" s="15">
        <v>120000</v>
      </c>
      <c r="C21" s="15">
        <v>240000</v>
      </c>
      <c r="D21" s="15">
        <v>240000</v>
      </c>
      <c r="E21" s="15">
        <v>480000</v>
      </c>
      <c r="F21" s="15">
        <v>360000</v>
      </c>
      <c r="G21" s="15">
        <v>720000</v>
      </c>
      <c r="H21" s="15">
        <v>160000</v>
      </c>
      <c r="I21" s="15">
        <v>320000</v>
      </c>
      <c r="J21" s="15">
        <v>320000</v>
      </c>
      <c r="K21" s="15">
        <v>640000</v>
      </c>
      <c r="L21" s="15">
        <v>480000</v>
      </c>
      <c r="M21" s="15">
        <v>960000</v>
      </c>
      <c r="N21" s="16">
        <v>0</v>
      </c>
    </row>
    <row r="22" spans="1:14" ht="12.75">
      <c r="A22" s="7" t="s">
        <v>37</v>
      </c>
      <c r="B22" s="17">
        <f aca="true" t="shared" si="0" ref="B22:M22">0.4*B21</f>
        <v>48000</v>
      </c>
      <c r="C22" s="17">
        <f t="shared" si="0"/>
        <v>96000</v>
      </c>
      <c r="D22" s="17">
        <f t="shared" si="0"/>
        <v>96000</v>
      </c>
      <c r="E22" s="17">
        <f t="shared" si="0"/>
        <v>192000</v>
      </c>
      <c r="F22" s="17">
        <f t="shared" si="0"/>
        <v>144000</v>
      </c>
      <c r="G22" s="17">
        <f t="shared" si="0"/>
        <v>288000</v>
      </c>
      <c r="H22" s="17">
        <f t="shared" si="0"/>
        <v>64000</v>
      </c>
      <c r="I22" s="17">
        <f t="shared" si="0"/>
        <v>128000</v>
      </c>
      <c r="J22" s="17">
        <f t="shared" si="0"/>
        <v>128000</v>
      </c>
      <c r="K22" s="17">
        <f t="shared" si="0"/>
        <v>256000</v>
      </c>
      <c r="L22" s="17">
        <f t="shared" si="0"/>
        <v>192000</v>
      </c>
      <c r="M22" s="17">
        <f t="shared" si="0"/>
        <v>384000</v>
      </c>
      <c r="N22" s="16">
        <v>-6250</v>
      </c>
    </row>
    <row r="23" spans="1:14" ht="12.75">
      <c r="A23" s="7" t="s">
        <v>38</v>
      </c>
      <c r="B23" s="15">
        <v>6800</v>
      </c>
      <c r="C23" s="15">
        <v>6800</v>
      </c>
      <c r="D23" s="15">
        <v>6800</v>
      </c>
      <c r="E23" s="15">
        <v>6800</v>
      </c>
      <c r="F23" s="15">
        <v>6800</v>
      </c>
      <c r="G23" s="15">
        <v>6800</v>
      </c>
      <c r="H23" s="15">
        <v>6800</v>
      </c>
      <c r="I23" s="15">
        <v>6800</v>
      </c>
      <c r="J23" s="15">
        <v>6800</v>
      </c>
      <c r="K23" s="15">
        <v>6800</v>
      </c>
      <c r="L23" s="15">
        <v>6800</v>
      </c>
      <c r="M23" s="15">
        <v>6800</v>
      </c>
      <c r="N23" s="16">
        <v>0</v>
      </c>
    </row>
    <row r="24" spans="1:14" ht="12.75">
      <c r="A24" s="6" t="s">
        <v>39</v>
      </c>
      <c r="B24" s="15">
        <f aca="true" t="shared" si="1" ref="B24:M24">800000/8</f>
        <v>100000</v>
      </c>
      <c r="C24" s="15">
        <f t="shared" si="1"/>
        <v>100000</v>
      </c>
      <c r="D24" s="15">
        <f t="shared" si="1"/>
        <v>100000</v>
      </c>
      <c r="E24" s="15">
        <f t="shared" si="1"/>
        <v>100000</v>
      </c>
      <c r="F24" s="15">
        <f t="shared" si="1"/>
        <v>100000</v>
      </c>
      <c r="G24" s="15">
        <f t="shared" si="1"/>
        <v>100000</v>
      </c>
      <c r="H24" s="15">
        <f t="shared" si="1"/>
        <v>100000</v>
      </c>
      <c r="I24" s="15">
        <f t="shared" si="1"/>
        <v>100000</v>
      </c>
      <c r="J24" s="15">
        <f t="shared" si="1"/>
        <v>100000</v>
      </c>
      <c r="K24" s="15">
        <f t="shared" si="1"/>
        <v>100000</v>
      </c>
      <c r="L24" s="15">
        <f t="shared" si="1"/>
        <v>100000</v>
      </c>
      <c r="M24" s="15">
        <f t="shared" si="1"/>
        <v>100000</v>
      </c>
      <c r="N24" s="16">
        <v>12500</v>
      </c>
    </row>
    <row r="25" spans="1:14" ht="12.75">
      <c r="A25" s="6" t="s">
        <v>40</v>
      </c>
      <c r="B25" s="17">
        <f aca="true" t="shared" si="2" ref="B25:N25">B22-B23-B24</f>
        <v>-58800</v>
      </c>
      <c r="C25" s="17">
        <f t="shared" si="2"/>
        <v>-10800</v>
      </c>
      <c r="D25" s="17">
        <f t="shared" si="2"/>
        <v>-10800</v>
      </c>
      <c r="E25" s="17">
        <f t="shared" si="2"/>
        <v>85200</v>
      </c>
      <c r="F25" s="17">
        <f t="shared" si="2"/>
        <v>37200</v>
      </c>
      <c r="G25" s="17">
        <f t="shared" si="2"/>
        <v>181200</v>
      </c>
      <c r="H25" s="17">
        <f t="shared" si="2"/>
        <v>-42800</v>
      </c>
      <c r="I25" s="17">
        <f t="shared" si="2"/>
        <v>21200</v>
      </c>
      <c r="J25" s="17">
        <f t="shared" si="2"/>
        <v>21200</v>
      </c>
      <c r="K25" s="17">
        <f t="shared" si="2"/>
        <v>149200</v>
      </c>
      <c r="L25" s="17">
        <f t="shared" si="2"/>
        <v>85200</v>
      </c>
      <c r="M25" s="17">
        <f t="shared" si="2"/>
        <v>277200</v>
      </c>
      <c r="N25" s="16">
        <f t="shared" si="2"/>
        <v>-18750</v>
      </c>
    </row>
    <row r="26" spans="1:14" ht="12.75">
      <c r="A26" s="7" t="s">
        <v>41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</row>
    <row r="27" spans="1:14" ht="12.75">
      <c r="A27" s="7" t="s">
        <v>42</v>
      </c>
      <c r="B27" s="17">
        <f aca="true" t="shared" si="3" ref="B27:N27">B25-B26</f>
        <v>-58800</v>
      </c>
      <c r="C27" s="17">
        <f t="shared" si="3"/>
        <v>-10800</v>
      </c>
      <c r="D27" s="17">
        <f t="shared" si="3"/>
        <v>-10800</v>
      </c>
      <c r="E27" s="17">
        <f t="shared" si="3"/>
        <v>85200</v>
      </c>
      <c r="F27" s="17">
        <f t="shared" si="3"/>
        <v>37200</v>
      </c>
      <c r="G27" s="17">
        <f t="shared" si="3"/>
        <v>181200</v>
      </c>
      <c r="H27" s="17">
        <f t="shared" si="3"/>
        <v>-42800</v>
      </c>
      <c r="I27" s="17">
        <f t="shared" si="3"/>
        <v>21200</v>
      </c>
      <c r="J27" s="17">
        <f t="shared" si="3"/>
        <v>21200</v>
      </c>
      <c r="K27" s="17">
        <f t="shared" si="3"/>
        <v>149200</v>
      </c>
      <c r="L27" s="17">
        <f t="shared" si="3"/>
        <v>85200</v>
      </c>
      <c r="M27" s="17">
        <f t="shared" si="3"/>
        <v>277200</v>
      </c>
      <c r="N27" s="16">
        <f t="shared" si="3"/>
        <v>-18750</v>
      </c>
    </row>
    <row r="28" spans="1:14" ht="12.75">
      <c r="A28" s="7" t="s">
        <v>43</v>
      </c>
      <c r="B28" s="15">
        <f aca="true" t="shared" si="4" ref="B28:N28">$C$5*B27</f>
        <v>-19600</v>
      </c>
      <c r="C28" s="15">
        <f t="shared" si="4"/>
        <v>-3600</v>
      </c>
      <c r="D28" s="15">
        <f t="shared" si="4"/>
        <v>-3600</v>
      </c>
      <c r="E28" s="15">
        <f t="shared" si="4"/>
        <v>28400</v>
      </c>
      <c r="F28" s="15">
        <f t="shared" si="4"/>
        <v>12400</v>
      </c>
      <c r="G28" s="15">
        <f t="shared" si="4"/>
        <v>60400</v>
      </c>
      <c r="H28" s="15">
        <f t="shared" si="4"/>
        <v>-14266.666666666666</v>
      </c>
      <c r="I28" s="15">
        <f t="shared" si="4"/>
        <v>7066.666666666666</v>
      </c>
      <c r="J28" s="15">
        <f t="shared" si="4"/>
        <v>7066.666666666666</v>
      </c>
      <c r="K28" s="15">
        <f t="shared" si="4"/>
        <v>49733.33333333333</v>
      </c>
      <c r="L28" s="15">
        <f t="shared" si="4"/>
        <v>28400</v>
      </c>
      <c r="M28" s="15">
        <f t="shared" si="4"/>
        <v>92400</v>
      </c>
      <c r="N28" s="16">
        <f t="shared" si="4"/>
        <v>-6250</v>
      </c>
    </row>
    <row r="29" spans="1:14" ht="12.75">
      <c r="A29" s="7" t="s">
        <v>44</v>
      </c>
      <c r="B29" s="17">
        <f aca="true" t="shared" si="5" ref="B29:N29">B25-B28</f>
        <v>-39200</v>
      </c>
      <c r="C29" s="17">
        <f t="shared" si="5"/>
        <v>-7200</v>
      </c>
      <c r="D29" s="17">
        <f t="shared" si="5"/>
        <v>-7200</v>
      </c>
      <c r="E29" s="17">
        <f t="shared" si="5"/>
        <v>56800</v>
      </c>
      <c r="F29" s="17">
        <f t="shared" si="5"/>
        <v>24800</v>
      </c>
      <c r="G29" s="17">
        <f t="shared" si="5"/>
        <v>120800</v>
      </c>
      <c r="H29" s="17">
        <f t="shared" si="5"/>
        <v>-28533.333333333336</v>
      </c>
      <c r="I29" s="17">
        <f t="shared" si="5"/>
        <v>14133.333333333334</v>
      </c>
      <c r="J29" s="17">
        <f t="shared" si="5"/>
        <v>14133.333333333334</v>
      </c>
      <c r="K29" s="17">
        <f t="shared" si="5"/>
        <v>99466.66666666667</v>
      </c>
      <c r="L29" s="17">
        <f t="shared" si="5"/>
        <v>56800</v>
      </c>
      <c r="M29" s="17">
        <f t="shared" si="5"/>
        <v>184800</v>
      </c>
      <c r="N29" s="16">
        <f t="shared" si="5"/>
        <v>-12500</v>
      </c>
    </row>
    <row r="30" spans="1:14" ht="12.75">
      <c r="A30" s="7" t="s">
        <v>45</v>
      </c>
      <c r="B30" s="15">
        <f aca="true" t="shared" si="6" ref="B30:N30">B24</f>
        <v>100000</v>
      </c>
      <c r="C30" s="15">
        <f t="shared" si="6"/>
        <v>100000</v>
      </c>
      <c r="D30" s="15">
        <f t="shared" si="6"/>
        <v>100000</v>
      </c>
      <c r="E30" s="15">
        <f t="shared" si="6"/>
        <v>100000</v>
      </c>
      <c r="F30" s="15">
        <f t="shared" si="6"/>
        <v>100000</v>
      </c>
      <c r="G30" s="15">
        <f t="shared" si="6"/>
        <v>100000</v>
      </c>
      <c r="H30" s="15">
        <f t="shared" si="6"/>
        <v>100000</v>
      </c>
      <c r="I30" s="15">
        <f t="shared" si="6"/>
        <v>100000</v>
      </c>
      <c r="J30" s="15">
        <f t="shared" si="6"/>
        <v>100000</v>
      </c>
      <c r="K30" s="15">
        <f t="shared" si="6"/>
        <v>100000</v>
      </c>
      <c r="L30" s="15">
        <f t="shared" si="6"/>
        <v>100000</v>
      </c>
      <c r="M30" s="15">
        <f t="shared" si="6"/>
        <v>100000</v>
      </c>
      <c r="N30" s="16">
        <f t="shared" si="6"/>
        <v>12500</v>
      </c>
    </row>
    <row r="31" spans="1:14" ht="13.5" thickBot="1">
      <c r="A31" s="7" t="s">
        <v>46</v>
      </c>
      <c r="B31" s="17">
        <f aca="true" t="shared" si="7" ref="B31:N31">B29+B30</f>
        <v>60800</v>
      </c>
      <c r="C31" s="17">
        <f t="shared" si="7"/>
        <v>92800</v>
      </c>
      <c r="D31" s="17">
        <f t="shared" si="7"/>
        <v>92800</v>
      </c>
      <c r="E31" s="17">
        <f t="shared" si="7"/>
        <v>156800</v>
      </c>
      <c r="F31" s="17">
        <f t="shared" si="7"/>
        <v>124800</v>
      </c>
      <c r="G31" s="17">
        <f t="shared" si="7"/>
        <v>220800</v>
      </c>
      <c r="H31" s="17">
        <f t="shared" si="7"/>
        <v>71466.66666666666</v>
      </c>
      <c r="I31" s="17">
        <f t="shared" si="7"/>
        <v>114133.33333333333</v>
      </c>
      <c r="J31" s="17">
        <f t="shared" si="7"/>
        <v>114133.33333333333</v>
      </c>
      <c r="K31" s="17">
        <f t="shared" si="7"/>
        <v>199466.6666666667</v>
      </c>
      <c r="L31" s="17">
        <f t="shared" si="7"/>
        <v>156800</v>
      </c>
      <c r="M31" s="17">
        <f t="shared" si="7"/>
        <v>284800</v>
      </c>
      <c r="N31" s="16">
        <f t="shared" si="7"/>
        <v>0</v>
      </c>
    </row>
    <row r="32" spans="1:14" ht="13.5" thickBot="1">
      <c r="A32" s="19" t="s">
        <v>47</v>
      </c>
      <c r="B32" s="20">
        <f aca="true" t="shared" si="8" ref="B32:M32">B31-N31</f>
        <v>60800</v>
      </c>
      <c r="C32" s="20">
        <f t="shared" si="8"/>
        <v>92800</v>
      </c>
      <c r="D32" s="20">
        <f t="shared" si="8"/>
        <v>92800</v>
      </c>
      <c r="E32" s="20">
        <f t="shared" si="8"/>
        <v>156800</v>
      </c>
      <c r="F32" s="20">
        <f t="shared" si="8"/>
        <v>124800</v>
      </c>
      <c r="G32" s="20">
        <f t="shared" si="8"/>
        <v>220800</v>
      </c>
      <c r="H32" s="20">
        <f t="shared" si="8"/>
        <v>71466.66666666666</v>
      </c>
      <c r="I32" s="20">
        <f t="shared" si="8"/>
        <v>114133.33333333333</v>
      </c>
      <c r="J32" s="20">
        <f t="shared" si="8"/>
        <v>114133.33333333333</v>
      </c>
      <c r="K32" s="20">
        <f t="shared" si="8"/>
        <v>199466.6666666667</v>
      </c>
      <c r="L32" s="20">
        <f t="shared" si="8"/>
        <v>156800</v>
      </c>
      <c r="M32" s="20">
        <f t="shared" si="8"/>
        <v>284800</v>
      </c>
      <c r="N32" s="14" t="s">
        <v>35</v>
      </c>
    </row>
    <row r="33" ht="13.5" thickTop="1"/>
    <row r="35" ht="12.75">
      <c r="A35" s="23" t="s">
        <v>48</v>
      </c>
    </row>
    <row r="36" ht="13.5" thickBot="1"/>
    <row r="37" spans="1:11" ht="14.25" thickBot="1" thickTop="1">
      <c r="A37" s="36" t="s">
        <v>49</v>
      </c>
      <c r="B37" s="37"/>
      <c r="C37" s="26">
        <v>0</v>
      </c>
      <c r="D37" s="26">
        <v>1</v>
      </c>
      <c r="E37" s="26">
        <v>2</v>
      </c>
      <c r="F37" s="26">
        <v>3</v>
      </c>
      <c r="G37" s="26">
        <v>4</v>
      </c>
      <c r="H37" s="26">
        <v>5</v>
      </c>
      <c r="I37" s="26">
        <v>6</v>
      </c>
      <c r="J37" s="26">
        <v>7</v>
      </c>
      <c r="K37" s="11">
        <v>8</v>
      </c>
    </row>
    <row r="38" spans="1:11" ht="12.75">
      <c r="A38" s="38" t="s">
        <v>50</v>
      </c>
      <c r="B38" s="39"/>
      <c r="C38" s="29">
        <v>800000</v>
      </c>
      <c r="D38" s="29"/>
      <c r="E38" s="29"/>
      <c r="F38" s="29"/>
      <c r="G38" s="29"/>
      <c r="H38" s="29"/>
      <c r="I38" s="29"/>
      <c r="J38" s="29"/>
      <c r="K38" s="30"/>
    </row>
    <row r="39" spans="1:11" ht="13.5" thickBot="1">
      <c r="A39" s="40" t="s">
        <v>51</v>
      </c>
      <c r="B39" s="41"/>
      <c r="C39" s="24">
        <v>238000</v>
      </c>
      <c r="D39" s="24"/>
      <c r="E39" s="24"/>
      <c r="F39" s="24"/>
      <c r="G39" s="24"/>
      <c r="H39" s="24"/>
      <c r="I39" s="24"/>
      <c r="J39" s="24"/>
      <c r="K39" s="5"/>
    </row>
    <row r="40" spans="1:11" ht="13.5" thickBot="1">
      <c r="A40" s="42" t="s">
        <v>52</v>
      </c>
      <c r="B40" s="43"/>
      <c r="C40" s="27">
        <f aca="true" t="shared" si="9" ref="C40:K40">SUM(C38:C39)</f>
        <v>1038000</v>
      </c>
      <c r="D40" s="27">
        <f t="shared" si="9"/>
        <v>0</v>
      </c>
      <c r="E40" s="27">
        <f t="shared" si="9"/>
        <v>0</v>
      </c>
      <c r="F40" s="27">
        <f t="shared" si="9"/>
        <v>0</v>
      </c>
      <c r="G40" s="27">
        <f t="shared" si="9"/>
        <v>0</v>
      </c>
      <c r="H40" s="27">
        <f t="shared" si="9"/>
        <v>0</v>
      </c>
      <c r="I40" s="27">
        <f t="shared" si="9"/>
        <v>0</v>
      </c>
      <c r="J40" s="27">
        <f t="shared" si="9"/>
        <v>0</v>
      </c>
      <c r="K40" s="28">
        <f t="shared" si="9"/>
        <v>0</v>
      </c>
    </row>
    <row r="41" spans="1:11" ht="12.75">
      <c r="A41" s="44" t="s">
        <v>53</v>
      </c>
      <c r="B41" s="39"/>
      <c r="C41" s="29">
        <v>7000</v>
      </c>
      <c r="D41" s="29"/>
      <c r="E41" s="29"/>
      <c r="F41" s="29"/>
      <c r="G41" s="29"/>
      <c r="H41" s="29"/>
      <c r="I41" s="29"/>
      <c r="J41" s="29"/>
      <c r="K41" s="30"/>
    </row>
    <row r="42" spans="1:11" ht="12.75">
      <c r="A42" s="35" t="s">
        <v>54</v>
      </c>
      <c r="B42" s="39"/>
      <c r="C42" s="29">
        <v>31000</v>
      </c>
      <c r="D42" s="29"/>
      <c r="E42" s="29"/>
      <c r="F42" s="29"/>
      <c r="G42" s="29"/>
      <c r="H42" s="29"/>
      <c r="I42" s="29"/>
      <c r="J42" s="29"/>
      <c r="K42" s="30"/>
    </row>
    <row r="43" spans="1:11" ht="12.75">
      <c r="A43" s="35" t="s">
        <v>55</v>
      </c>
      <c r="B43" s="39"/>
      <c r="C43" s="29"/>
      <c r="D43" s="29"/>
      <c r="E43" s="29"/>
      <c r="F43" s="29"/>
      <c r="G43" s="29"/>
      <c r="H43" s="29"/>
      <c r="I43" s="29"/>
      <c r="J43" s="29"/>
      <c r="K43" s="30"/>
    </row>
    <row r="44" spans="1:11" ht="12.75">
      <c r="A44" s="6" t="s">
        <v>56</v>
      </c>
      <c r="B44" s="41"/>
      <c r="C44" s="24"/>
      <c r="D44" s="24"/>
      <c r="E44" s="24"/>
      <c r="F44" s="24"/>
      <c r="G44" s="24"/>
      <c r="H44" s="24"/>
      <c r="I44" s="24"/>
      <c r="J44" s="24"/>
      <c r="K44" s="5">
        <v>20000</v>
      </c>
    </row>
    <row r="45" spans="1:11" ht="12.75">
      <c r="A45" s="48" t="s">
        <v>57</v>
      </c>
      <c r="B45" s="49"/>
      <c r="C45" s="50"/>
      <c r="D45" s="50"/>
      <c r="E45" s="50"/>
      <c r="F45" s="50"/>
      <c r="G45" s="50"/>
      <c r="H45" s="50"/>
      <c r="I45" s="50"/>
      <c r="J45" s="50"/>
      <c r="K45" s="51">
        <v>238000</v>
      </c>
    </row>
    <row r="46" spans="1:11" ht="13.5" thickBot="1">
      <c r="A46" s="45" t="s">
        <v>58</v>
      </c>
      <c r="B46" s="41"/>
      <c r="C46" s="24"/>
      <c r="D46" s="32">
        <f>$B$32</f>
        <v>60800</v>
      </c>
      <c r="E46" s="32">
        <f aca="true" t="shared" si="10" ref="E46:K46">$D46</f>
        <v>60800</v>
      </c>
      <c r="F46" s="32">
        <f t="shared" si="10"/>
        <v>60800</v>
      </c>
      <c r="G46" s="32">
        <f t="shared" si="10"/>
        <v>60800</v>
      </c>
      <c r="H46" s="32">
        <f t="shared" si="10"/>
        <v>60800</v>
      </c>
      <c r="I46" s="32">
        <f t="shared" si="10"/>
        <v>60800</v>
      </c>
      <c r="J46" s="32">
        <f t="shared" si="10"/>
        <v>60800</v>
      </c>
      <c r="K46" s="31">
        <f t="shared" si="10"/>
        <v>60800</v>
      </c>
    </row>
    <row r="47" spans="1:11" ht="13.5" thickBot="1">
      <c r="A47" s="42" t="s">
        <v>59</v>
      </c>
      <c r="B47" s="43"/>
      <c r="C47" s="27">
        <f aca="true" t="shared" si="11" ref="C47:K47">SUM(C41:C46)</f>
        <v>38000</v>
      </c>
      <c r="D47" s="27">
        <f t="shared" si="11"/>
        <v>60800</v>
      </c>
      <c r="E47" s="27">
        <f t="shared" si="11"/>
        <v>60800</v>
      </c>
      <c r="F47" s="27">
        <f t="shared" si="11"/>
        <v>60800</v>
      </c>
      <c r="G47" s="27">
        <f t="shared" si="11"/>
        <v>60800</v>
      </c>
      <c r="H47" s="27">
        <f t="shared" si="11"/>
        <v>60800</v>
      </c>
      <c r="I47" s="27">
        <f t="shared" si="11"/>
        <v>60800</v>
      </c>
      <c r="J47" s="27">
        <f t="shared" si="11"/>
        <v>60800</v>
      </c>
      <c r="K47" s="28">
        <f t="shared" si="11"/>
        <v>318800</v>
      </c>
    </row>
    <row r="48" spans="1:11" ht="13.5" thickBot="1">
      <c r="A48" s="46" t="s">
        <v>60</v>
      </c>
      <c r="B48" s="47"/>
      <c r="C48" s="25">
        <f aca="true" t="shared" si="12" ref="C48:K48">C47-C40</f>
        <v>-1000000</v>
      </c>
      <c r="D48" s="25">
        <f t="shared" si="12"/>
        <v>60800</v>
      </c>
      <c r="E48" s="25">
        <f t="shared" si="12"/>
        <v>60800</v>
      </c>
      <c r="F48" s="25">
        <f t="shared" si="12"/>
        <v>60800</v>
      </c>
      <c r="G48" s="25">
        <f t="shared" si="12"/>
        <v>60800</v>
      </c>
      <c r="H48" s="25">
        <f t="shared" si="12"/>
        <v>60800</v>
      </c>
      <c r="I48" s="25">
        <f t="shared" si="12"/>
        <v>60800</v>
      </c>
      <c r="J48" s="25">
        <f t="shared" si="12"/>
        <v>60800</v>
      </c>
      <c r="K48" s="8">
        <f t="shared" si="12"/>
        <v>318800</v>
      </c>
    </row>
    <row r="49" ht="13.5" thickTop="1"/>
    <row r="50" spans="1:9" ht="12.75">
      <c r="A50" s="3" t="s">
        <v>61</v>
      </c>
      <c r="B50" s="53">
        <f>NPV($C$15,$D48:$K48)+$C48</f>
        <v>-522804.9671448015</v>
      </c>
      <c r="C50" s="3" t="s">
        <v>62</v>
      </c>
      <c r="F50" s="53"/>
      <c r="G50" s="21" t="s">
        <v>63</v>
      </c>
      <c r="I50" s="53">
        <f>NPV($G$15,$D48:$K48)+$C48</f>
        <v>-526065.5716177578</v>
      </c>
    </row>
    <row r="51" spans="1:9" ht="12.75">
      <c r="A51" s="3" t="s">
        <v>64</v>
      </c>
      <c r="B51" s="54">
        <f>IRR($C48:$K48)</f>
        <v>-0.04908323914215129</v>
      </c>
      <c r="C51" s="3" t="s">
        <v>65</v>
      </c>
      <c r="F51" s="54">
        <f>MIRR($C48:$K48,$C$15,$K$15)</f>
        <v>-0.012439999081030662</v>
      </c>
      <c r="G51" s="3" t="s">
        <v>66</v>
      </c>
      <c r="I51" s="53">
        <f>$C$5*$G$14*ABS($C48)*$G$11*(1-((1+$G$12)^-8))/$G$12</f>
        <v>33208.91468848213</v>
      </c>
    </row>
    <row r="52" spans="1:9" ht="12.75">
      <c r="A52" s="3" t="s">
        <v>67</v>
      </c>
      <c r="B52" s="53"/>
      <c r="C52" s="3" t="s">
        <v>68</v>
      </c>
      <c r="F52" s="53"/>
      <c r="G52" s="3" t="s">
        <v>69</v>
      </c>
      <c r="I52" s="53">
        <v>0</v>
      </c>
    </row>
    <row r="53" spans="1:9" ht="12.75">
      <c r="A53" t="s">
        <v>70</v>
      </c>
      <c r="B53" s="53"/>
      <c r="C53" s="3" t="s">
        <v>71</v>
      </c>
      <c r="F53" s="53"/>
      <c r="G53" s="3" t="s">
        <v>72</v>
      </c>
      <c r="I53" s="53">
        <f>SUM(I50:I52)</f>
        <v>-492856.65692927566</v>
      </c>
    </row>
    <row r="54" spans="2:9" ht="12.75">
      <c r="B54" s="34"/>
      <c r="C54" s="3"/>
      <c r="F54" s="34"/>
      <c r="G54" s="3"/>
      <c r="I54" s="34"/>
    </row>
    <row r="55" ht="13.5" thickBot="1">
      <c r="A55" s="23" t="s">
        <v>73</v>
      </c>
    </row>
    <row r="56" spans="1:11" ht="14.25" thickBot="1" thickTop="1">
      <c r="A56" s="36" t="s">
        <v>49</v>
      </c>
      <c r="B56" s="37"/>
      <c r="C56" s="26">
        <v>0</v>
      </c>
      <c r="D56" s="26">
        <v>1</v>
      </c>
      <c r="E56" s="26">
        <v>2</v>
      </c>
      <c r="F56" s="26">
        <v>3</v>
      </c>
      <c r="G56" s="26">
        <v>4</v>
      </c>
      <c r="H56" s="26">
        <v>5</v>
      </c>
      <c r="I56" s="26">
        <v>6</v>
      </c>
      <c r="J56" s="26">
        <v>7</v>
      </c>
      <c r="K56" s="11">
        <v>8</v>
      </c>
    </row>
    <row r="57" spans="1:11" ht="12.75">
      <c r="A57" s="38" t="s">
        <v>50</v>
      </c>
      <c r="B57" s="39"/>
      <c r="C57" s="29">
        <v>800000</v>
      </c>
      <c r="D57" s="29"/>
      <c r="E57" s="29"/>
      <c r="F57" s="29"/>
      <c r="G57" s="29"/>
      <c r="H57" s="29"/>
      <c r="I57" s="29"/>
      <c r="J57" s="29"/>
      <c r="K57" s="30"/>
    </row>
    <row r="58" spans="1:11" ht="13.5" thickBot="1">
      <c r="A58" s="40" t="s">
        <v>51</v>
      </c>
      <c r="B58" s="41"/>
      <c r="C58" s="24">
        <v>238000</v>
      </c>
      <c r="D58" s="24"/>
      <c r="E58" s="24"/>
      <c r="F58" s="24"/>
      <c r="G58" s="24"/>
      <c r="H58" s="24"/>
      <c r="I58" s="24"/>
      <c r="J58" s="24"/>
      <c r="K58" s="5"/>
    </row>
    <row r="59" spans="1:11" ht="13.5" thickBot="1">
      <c r="A59" s="42" t="s">
        <v>52</v>
      </c>
      <c r="B59" s="43"/>
      <c r="C59" s="27">
        <f aca="true" t="shared" si="13" ref="C59:K59">SUM(C57:C58)</f>
        <v>1038000</v>
      </c>
      <c r="D59" s="27">
        <f t="shared" si="13"/>
        <v>0</v>
      </c>
      <c r="E59" s="27">
        <f t="shared" si="13"/>
        <v>0</v>
      </c>
      <c r="F59" s="27">
        <f t="shared" si="13"/>
        <v>0</v>
      </c>
      <c r="G59" s="27">
        <f t="shared" si="13"/>
        <v>0</v>
      </c>
      <c r="H59" s="27">
        <f t="shared" si="13"/>
        <v>0</v>
      </c>
      <c r="I59" s="27">
        <f t="shared" si="13"/>
        <v>0</v>
      </c>
      <c r="J59" s="27">
        <f t="shared" si="13"/>
        <v>0</v>
      </c>
      <c r="K59" s="28">
        <f t="shared" si="13"/>
        <v>0</v>
      </c>
    </row>
    <row r="60" spans="1:11" ht="12.75">
      <c r="A60" s="44" t="s">
        <v>53</v>
      </c>
      <c r="B60" s="39"/>
      <c r="C60" s="29">
        <v>7000</v>
      </c>
      <c r="D60" s="29"/>
      <c r="E60" s="29"/>
      <c r="F60" s="29"/>
      <c r="G60" s="29"/>
      <c r="H60" s="29"/>
      <c r="I60" s="29"/>
      <c r="J60" s="29"/>
      <c r="K60" s="30"/>
    </row>
    <row r="61" spans="1:11" ht="12.75">
      <c r="A61" s="35" t="s">
        <v>54</v>
      </c>
      <c r="B61" s="39"/>
      <c r="C61" s="29">
        <v>31000</v>
      </c>
      <c r="D61" s="29"/>
      <c r="E61" s="29"/>
      <c r="F61" s="29"/>
      <c r="G61" s="29"/>
      <c r="H61" s="29"/>
      <c r="I61" s="29"/>
      <c r="J61" s="29"/>
      <c r="K61" s="30"/>
    </row>
    <row r="62" spans="1:11" ht="12.75">
      <c r="A62" s="6" t="s">
        <v>56</v>
      </c>
      <c r="B62" s="41"/>
      <c r="C62" s="24"/>
      <c r="D62" s="24"/>
      <c r="E62" s="24"/>
      <c r="F62" s="24"/>
      <c r="G62" s="24"/>
      <c r="H62" s="24"/>
      <c r="I62" s="24"/>
      <c r="J62" s="24"/>
      <c r="K62" s="5">
        <v>20000</v>
      </c>
    </row>
    <row r="63" spans="1:11" ht="12.75">
      <c r="A63" s="48" t="s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1">
        <v>238000</v>
      </c>
    </row>
    <row r="64" spans="1:11" ht="13.5" thickBot="1">
      <c r="A64" s="45" t="s">
        <v>58</v>
      </c>
      <c r="B64" s="41"/>
      <c r="C64" s="24"/>
      <c r="D64" s="32">
        <f>$C$32</f>
        <v>92800</v>
      </c>
      <c r="E64" s="32">
        <f aca="true" t="shared" si="14" ref="E64:K64">$D64</f>
        <v>92800</v>
      </c>
      <c r="F64" s="32">
        <f t="shared" si="14"/>
        <v>92800</v>
      </c>
      <c r="G64" s="32">
        <f t="shared" si="14"/>
        <v>92800</v>
      </c>
      <c r="H64" s="32">
        <f t="shared" si="14"/>
        <v>92800</v>
      </c>
      <c r="I64" s="32">
        <f t="shared" si="14"/>
        <v>92800</v>
      </c>
      <c r="J64" s="32">
        <f t="shared" si="14"/>
        <v>92800</v>
      </c>
      <c r="K64" s="31">
        <f t="shared" si="14"/>
        <v>92800</v>
      </c>
    </row>
    <row r="65" spans="1:11" ht="13.5" thickBot="1">
      <c r="A65" s="42" t="s">
        <v>59</v>
      </c>
      <c r="B65" s="43"/>
      <c r="C65" s="27">
        <f aca="true" t="shared" si="15" ref="C65:K65">SUM(C60:C64)</f>
        <v>38000</v>
      </c>
      <c r="D65" s="27">
        <f t="shared" si="15"/>
        <v>92800</v>
      </c>
      <c r="E65" s="27">
        <f t="shared" si="15"/>
        <v>92800</v>
      </c>
      <c r="F65" s="27">
        <f t="shared" si="15"/>
        <v>92800</v>
      </c>
      <c r="G65" s="27">
        <f t="shared" si="15"/>
        <v>92800</v>
      </c>
      <c r="H65" s="27">
        <f t="shared" si="15"/>
        <v>92800</v>
      </c>
      <c r="I65" s="27">
        <f t="shared" si="15"/>
        <v>92800</v>
      </c>
      <c r="J65" s="27">
        <f t="shared" si="15"/>
        <v>92800</v>
      </c>
      <c r="K65" s="28">
        <f t="shared" si="15"/>
        <v>350800</v>
      </c>
    </row>
    <row r="66" spans="1:11" ht="13.5" thickBot="1">
      <c r="A66" s="46" t="s">
        <v>60</v>
      </c>
      <c r="B66" s="47"/>
      <c r="C66" s="25">
        <f aca="true" t="shared" si="16" ref="C66:K66">C65-C59</f>
        <v>-1000000</v>
      </c>
      <c r="D66" s="25">
        <f t="shared" si="16"/>
        <v>92800</v>
      </c>
      <c r="E66" s="25">
        <f t="shared" si="16"/>
        <v>92800</v>
      </c>
      <c r="F66" s="25">
        <f t="shared" si="16"/>
        <v>92800</v>
      </c>
      <c r="G66" s="25">
        <f t="shared" si="16"/>
        <v>92800</v>
      </c>
      <c r="H66" s="25">
        <f t="shared" si="16"/>
        <v>92800</v>
      </c>
      <c r="I66" s="25">
        <f t="shared" si="16"/>
        <v>92800</v>
      </c>
      <c r="J66" s="25">
        <f t="shared" si="16"/>
        <v>92800</v>
      </c>
      <c r="K66" s="8">
        <f t="shared" si="16"/>
        <v>350800</v>
      </c>
    </row>
    <row r="67" ht="13.5" thickTop="1"/>
    <row r="68" spans="1:9" ht="12.75" customHeight="1">
      <c r="A68" s="3" t="s">
        <v>61</v>
      </c>
      <c r="B68" s="53">
        <f>NPV($C$15,$D66:$K66)+$C66</f>
        <v>-342351.11487840756</v>
      </c>
      <c r="C68" s="3" t="s">
        <v>62</v>
      </c>
      <c r="F68" s="53"/>
      <c r="G68" s="21" t="s">
        <v>63</v>
      </c>
      <c r="I68" s="53">
        <f>NPV($G$15,$D66:$K66)+$C66</f>
        <v>-346582.4435151295</v>
      </c>
    </row>
    <row r="69" spans="1:9" ht="12.75" customHeight="1">
      <c r="A69" s="3" t="s">
        <v>64</v>
      </c>
      <c r="B69" s="54">
        <f>IRR($C66:$K66)</f>
        <v>7.402899357339236E-05</v>
      </c>
      <c r="C69" s="3" t="s">
        <v>65</v>
      </c>
      <c r="F69" s="54">
        <f>MIRR($C66:$K66,$C$15,$K$15)</f>
        <v>0.027778705796572822</v>
      </c>
      <c r="G69" s="3" t="s">
        <v>66</v>
      </c>
      <c r="I69" s="53">
        <f>$C$5*$G$14*ABS($C66)*$G$11*(1-((1+$G$12)^-8))/$G$12</f>
        <v>33208.91468848213</v>
      </c>
    </row>
    <row r="70" spans="1:9" ht="12.75" customHeight="1">
      <c r="A70" s="3" t="s">
        <v>67</v>
      </c>
      <c r="B70" s="53"/>
      <c r="C70" s="3" t="s">
        <v>68</v>
      </c>
      <c r="F70" s="53"/>
      <c r="G70" s="3" t="s">
        <v>69</v>
      </c>
      <c r="I70" s="53">
        <v>0</v>
      </c>
    </row>
    <row r="71" spans="1:9" ht="12.75" customHeight="1">
      <c r="A71" t="s">
        <v>70</v>
      </c>
      <c r="B71" s="53"/>
      <c r="C71" s="3" t="s">
        <v>71</v>
      </c>
      <c r="F71" s="53"/>
      <c r="G71" s="3" t="s">
        <v>72</v>
      </c>
      <c r="I71" s="53">
        <f>SUM(I68:I70)</f>
        <v>-313373.5288266474</v>
      </c>
    </row>
    <row r="73" ht="13.5" thickBot="1">
      <c r="A73" s="23" t="s">
        <v>74</v>
      </c>
    </row>
    <row r="74" spans="1:11" ht="14.25" thickBot="1" thickTop="1">
      <c r="A74" s="36" t="s">
        <v>49</v>
      </c>
      <c r="B74" s="37"/>
      <c r="C74" s="26">
        <v>0</v>
      </c>
      <c r="D74" s="26">
        <v>1</v>
      </c>
      <c r="E74" s="26">
        <v>2</v>
      </c>
      <c r="F74" s="26">
        <v>3</v>
      </c>
      <c r="G74" s="26">
        <v>4</v>
      </c>
      <c r="H74" s="26">
        <v>5</v>
      </c>
      <c r="I74" s="26">
        <v>6</v>
      </c>
      <c r="J74" s="26">
        <v>7</v>
      </c>
      <c r="K74" s="11">
        <v>8</v>
      </c>
    </row>
    <row r="75" spans="1:11" ht="12.75">
      <c r="A75" s="38" t="s">
        <v>50</v>
      </c>
      <c r="B75" s="39"/>
      <c r="C75" s="29">
        <v>800000</v>
      </c>
      <c r="D75" s="29"/>
      <c r="E75" s="29"/>
      <c r="F75" s="29"/>
      <c r="G75" s="29"/>
      <c r="H75" s="29"/>
      <c r="I75" s="29"/>
      <c r="J75" s="29"/>
      <c r="K75" s="30"/>
    </row>
    <row r="76" spans="1:11" ht="13.5" thickBot="1">
      <c r="A76" s="40" t="s">
        <v>51</v>
      </c>
      <c r="B76" s="41"/>
      <c r="C76" s="24">
        <v>238000</v>
      </c>
      <c r="D76" s="24"/>
      <c r="E76" s="24"/>
      <c r="F76" s="24"/>
      <c r="G76" s="24"/>
      <c r="H76" s="24"/>
      <c r="I76" s="24"/>
      <c r="J76" s="24"/>
      <c r="K76" s="5"/>
    </row>
    <row r="77" spans="1:11" ht="13.5" thickBot="1">
      <c r="A77" s="42" t="s">
        <v>52</v>
      </c>
      <c r="B77" s="43"/>
      <c r="C77" s="27">
        <f aca="true" t="shared" si="17" ref="C77:K77">SUM(C75:C76)</f>
        <v>1038000</v>
      </c>
      <c r="D77" s="27">
        <f t="shared" si="17"/>
        <v>0</v>
      </c>
      <c r="E77" s="27">
        <f t="shared" si="17"/>
        <v>0</v>
      </c>
      <c r="F77" s="27">
        <f t="shared" si="17"/>
        <v>0</v>
      </c>
      <c r="G77" s="27">
        <f t="shared" si="17"/>
        <v>0</v>
      </c>
      <c r="H77" s="27">
        <f t="shared" si="17"/>
        <v>0</v>
      </c>
      <c r="I77" s="27">
        <f t="shared" si="17"/>
        <v>0</v>
      </c>
      <c r="J77" s="27">
        <f t="shared" si="17"/>
        <v>0</v>
      </c>
      <c r="K77" s="28">
        <f t="shared" si="17"/>
        <v>0</v>
      </c>
    </row>
    <row r="78" spans="1:11" ht="12.75">
      <c r="A78" s="44" t="s">
        <v>53</v>
      </c>
      <c r="B78" s="39"/>
      <c r="C78" s="29">
        <v>7000</v>
      </c>
      <c r="D78" s="29"/>
      <c r="E78" s="29"/>
      <c r="F78" s="29"/>
      <c r="G78" s="29"/>
      <c r="H78" s="29"/>
      <c r="I78" s="29"/>
      <c r="J78" s="29"/>
      <c r="K78" s="30"/>
    </row>
    <row r="79" spans="1:11" ht="12.75">
      <c r="A79" s="35" t="s">
        <v>54</v>
      </c>
      <c r="B79" s="39"/>
      <c r="C79" s="29">
        <v>31000</v>
      </c>
      <c r="D79" s="29"/>
      <c r="E79" s="29"/>
      <c r="F79" s="29"/>
      <c r="G79" s="29"/>
      <c r="H79" s="29"/>
      <c r="I79" s="29"/>
      <c r="J79" s="29"/>
      <c r="K79" s="30"/>
    </row>
    <row r="80" spans="1:11" ht="12.75">
      <c r="A80" s="6" t="s">
        <v>56</v>
      </c>
      <c r="B80" s="41"/>
      <c r="C80" s="24"/>
      <c r="D80" s="24"/>
      <c r="E80" s="24"/>
      <c r="F80" s="24"/>
      <c r="G80" s="24"/>
      <c r="H80" s="24"/>
      <c r="I80" s="24"/>
      <c r="J80" s="24"/>
      <c r="K80" s="5">
        <v>20000</v>
      </c>
    </row>
    <row r="81" spans="1:11" ht="12.75">
      <c r="A81" s="48" t="s">
        <v>57</v>
      </c>
      <c r="B81" s="49"/>
      <c r="C81" s="50"/>
      <c r="D81" s="50"/>
      <c r="E81" s="50"/>
      <c r="F81" s="50"/>
      <c r="G81" s="50"/>
      <c r="H81" s="50"/>
      <c r="I81" s="50"/>
      <c r="J81" s="50"/>
      <c r="K81" s="51">
        <v>238000</v>
      </c>
    </row>
    <row r="82" spans="1:11" ht="13.5" thickBot="1">
      <c r="A82" s="45" t="s">
        <v>58</v>
      </c>
      <c r="B82" s="41"/>
      <c r="C82" s="24"/>
      <c r="D82" s="32">
        <f>$D$32</f>
        <v>92800</v>
      </c>
      <c r="E82" s="32">
        <f aca="true" t="shared" si="18" ref="E82:K82">$D82</f>
        <v>92800</v>
      </c>
      <c r="F82" s="32">
        <f t="shared" si="18"/>
        <v>92800</v>
      </c>
      <c r="G82" s="32">
        <f t="shared" si="18"/>
        <v>92800</v>
      </c>
      <c r="H82" s="32">
        <f t="shared" si="18"/>
        <v>92800</v>
      </c>
      <c r="I82" s="32">
        <f t="shared" si="18"/>
        <v>92800</v>
      </c>
      <c r="J82" s="32">
        <f t="shared" si="18"/>
        <v>92800</v>
      </c>
      <c r="K82" s="31">
        <f t="shared" si="18"/>
        <v>92800</v>
      </c>
    </row>
    <row r="83" spans="1:11" ht="13.5" thickBot="1">
      <c r="A83" s="42" t="s">
        <v>59</v>
      </c>
      <c r="B83" s="43"/>
      <c r="C83" s="27">
        <f aca="true" t="shared" si="19" ref="C83:K83">SUM(C78:C82)</f>
        <v>38000</v>
      </c>
      <c r="D83" s="27">
        <f t="shared" si="19"/>
        <v>92800</v>
      </c>
      <c r="E83" s="27">
        <f t="shared" si="19"/>
        <v>92800</v>
      </c>
      <c r="F83" s="27">
        <f t="shared" si="19"/>
        <v>92800</v>
      </c>
      <c r="G83" s="27">
        <f t="shared" si="19"/>
        <v>92800</v>
      </c>
      <c r="H83" s="27">
        <f t="shared" si="19"/>
        <v>92800</v>
      </c>
      <c r="I83" s="27">
        <f t="shared" si="19"/>
        <v>92800</v>
      </c>
      <c r="J83" s="27">
        <f t="shared" si="19"/>
        <v>92800</v>
      </c>
      <c r="K83" s="28">
        <f t="shared" si="19"/>
        <v>350800</v>
      </c>
    </row>
    <row r="84" spans="1:11" ht="13.5" thickBot="1">
      <c r="A84" s="46" t="s">
        <v>60</v>
      </c>
      <c r="B84" s="47"/>
      <c r="C84" s="25">
        <f aca="true" t="shared" si="20" ref="C84:K84">C83-C77</f>
        <v>-1000000</v>
      </c>
      <c r="D84" s="25">
        <f t="shared" si="20"/>
        <v>92800</v>
      </c>
      <c r="E84" s="25">
        <f t="shared" si="20"/>
        <v>92800</v>
      </c>
      <c r="F84" s="25">
        <f t="shared" si="20"/>
        <v>92800</v>
      </c>
      <c r="G84" s="25">
        <f t="shared" si="20"/>
        <v>92800</v>
      </c>
      <c r="H84" s="25">
        <f t="shared" si="20"/>
        <v>92800</v>
      </c>
      <c r="I84" s="25">
        <f t="shared" si="20"/>
        <v>92800</v>
      </c>
      <c r="J84" s="25">
        <f t="shared" si="20"/>
        <v>92800</v>
      </c>
      <c r="K84" s="8">
        <f t="shared" si="20"/>
        <v>350800</v>
      </c>
    </row>
    <row r="85" ht="13.5" thickTop="1"/>
    <row r="86" spans="1:9" ht="12.75">
      <c r="A86" s="3" t="s">
        <v>61</v>
      </c>
      <c r="B86" s="53">
        <f>NPV($C$15,$D84:$K84)+$C84</f>
        <v>-342351.11487840756</v>
      </c>
      <c r="C86" s="3" t="s">
        <v>62</v>
      </c>
      <c r="F86" s="53"/>
      <c r="G86" s="21" t="s">
        <v>63</v>
      </c>
      <c r="I86" s="53">
        <f>NPV($G$15,$D84:$K84)+$C84</f>
        <v>-346582.4435151295</v>
      </c>
    </row>
    <row r="87" spans="1:9" ht="12.75">
      <c r="A87" s="3" t="s">
        <v>64</v>
      </c>
      <c r="B87" s="54">
        <f>IRR($C84:$K84)</f>
        <v>7.402899357339236E-05</v>
      </c>
      <c r="C87" s="3" t="s">
        <v>65</v>
      </c>
      <c r="F87" s="54">
        <f>MIRR($C84:$K84,$C$15,$K$15)</f>
        <v>0.027778705796572822</v>
      </c>
      <c r="G87" s="3" t="s">
        <v>66</v>
      </c>
      <c r="I87" s="53">
        <f>$C$5*$G$14*ABS($C84)*$G$11*(1-((1+$G$12)^-8))/$G$12</f>
        <v>33208.91468848213</v>
      </c>
    </row>
    <row r="88" spans="1:9" ht="12.75">
      <c r="A88" s="3" t="s">
        <v>67</v>
      </c>
      <c r="B88" s="53"/>
      <c r="C88" s="3" t="s">
        <v>68</v>
      </c>
      <c r="F88" s="53"/>
      <c r="G88" s="3" t="s">
        <v>69</v>
      </c>
      <c r="I88" s="53">
        <v>0</v>
      </c>
    </row>
    <row r="89" spans="1:9" ht="12.75">
      <c r="A89" t="s">
        <v>70</v>
      </c>
      <c r="B89" s="53"/>
      <c r="C89" s="3" t="s">
        <v>71</v>
      </c>
      <c r="F89" s="53"/>
      <c r="G89" s="3" t="s">
        <v>72</v>
      </c>
      <c r="I89" s="53">
        <f>SUM(I86:I88)</f>
        <v>-313373.5288266474</v>
      </c>
    </row>
    <row r="91" ht="13.5" thickBot="1">
      <c r="A91" s="23" t="s">
        <v>75</v>
      </c>
    </row>
    <row r="92" spans="1:11" ht="14.25" thickBot="1" thickTop="1">
      <c r="A92" s="36" t="s">
        <v>49</v>
      </c>
      <c r="B92" s="37"/>
      <c r="C92" s="26">
        <v>0</v>
      </c>
      <c r="D92" s="26">
        <v>1</v>
      </c>
      <c r="E92" s="26">
        <v>2</v>
      </c>
      <c r="F92" s="26">
        <v>3</v>
      </c>
      <c r="G92" s="26">
        <v>4</v>
      </c>
      <c r="H92" s="26">
        <v>5</v>
      </c>
      <c r="I92" s="26">
        <v>6</v>
      </c>
      <c r="J92" s="26">
        <v>7</v>
      </c>
      <c r="K92" s="11">
        <v>8</v>
      </c>
    </row>
    <row r="93" spans="1:11" ht="12.75">
      <c r="A93" s="38" t="s">
        <v>50</v>
      </c>
      <c r="B93" s="39"/>
      <c r="C93" s="29">
        <v>800000</v>
      </c>
      <c r="D93" s="29"/>
      <c r="E93" s="29"/>
      <c r="F93" s="29"/>
      <c r="G93" s="29"/>
      <c r="H93" s="29"/>
      <c r="I93" s="29"/>
      <c r="J93" s="29"/>
      <c r="K93" s="30"/>
    </row>
    <row r="94" spans="1:11" ht="13.5" thickBot="1">
      <c r="A94" s="40" t="s">
        <v>51</v>
      </c>
      <c r="B94" s="41"/>
      <c r="C94" s="24">
        <v>238000</v>
      </c>
      <c r="D94" s="24"/>
      <c r="E94" s="24"/>
      <c r="F94" s="24"/>
      <c r="G94" s="24"/>
      <c r="H94" s="24"/>
      <c r="I94" s="24"/>
      <c r="J94" s="24"/>
      <c r="K94" s="5"/>
    </row>
    <row r="95" spans="1:11" ht="13.5" thickBot="1">
      <c r="A95" s="42" t="s">
        <v>52</v>
      </c>
      <c r="B95" s="43"/>
      <c r="C95" s="27">
        <f aca="true" t="shared" si="21" ref="C95:K95">SUM(C93:C94)</f>
        <v>1038000</v>
      </c>
      <c r="D95" s="27">
        <f t="shared" si="21"/>
        <v>0</v>
      </c>
      <c r="E95" s="27">
        <f t="shared" si="21"/>
        <v>0</v>
      </c>
      <c r="F95" s="27">
        <f t="shared" si="21"/>
        <v>0</v>
      </c>
      <c r="G95" s="27">
        <f t="shared" si="21"/>
        <v>0</v>
      </c>
      <c r="H95" s="27">
        <f t="shared" si="21"/>
        <v>0</v>
      </c>
      <c r="I95" s="27">
        <f t="shared" si="21"/>
        <v>0</v>
      </c>
      <c r="J95" s="27">
        <f t="shared" si="21"/>
        <v>0</v>
      </c>
      <c r="K95" s="28">
        <f t="shared" si="21"/>
        <v>0</v>
      </c>
    </row>
    <row r="96" spans="1:11" ht="12.75">
      <c r="A96" s="35" t="s">
        <v>53</v>
      </c>
      <c r="B96" s="39"/>
      <c r="C96" s="29">
        <v>7000</v>
      </c>
      <c r="D96" s="29"/>
      <c r="E96" s="29"/>
      <c r="F96" s="29"/>
      <c r="G96" s="29"/>
      <c r="H96" s="29"/>
      <c r="I96" s="29"/>
      <c r="J96" s="29"/>
      <c r="K96" s="30"/>
    </row>
    <row r="97" spans="1:11" ht="12.75">
      <c r="A97" s="35" t="s">
        <v>54</v>
      </c>
      <c r="B97" s="39"/>
      <c r="C97" s="29">
        <v>31000</v>
      </c>
      <c r="D97" s="29"/>
      <c r="E97" s="29"/>
      <c r="F97" s="29"/>
      <c r="G97" s="29"/>
      <c r="H97" s="29"/>
      <c r="I97" s="29"/>
      <c r="J97" s="29"/>
      <c r="K97" s="30"/>
    </row>
    <row r="98" spans="1:11" ht="12.75">
      <c r="A98" s="6" t="s">
        <v>56</v>
      </c>
      <c r="B98" s="41"/>
      <c r="C98" s="24"/>
      <c r="D98" s="24"/>
      <c r="E98" s="24"/>
      <c r="F98" s="24"/>
      <c r="G98" s="24"/>
      <c r="H98" s="24"/>
      <c r="I98" s="24"/>
      <c r="J98" s="24"/>
      <c r="K98" s="5">
        <v>20000</v>
      </c>
    </row>
    <row r="99" spans="1:11" ht="12.75">
      <c r="A99" s="48" t="s">
        <v>57</v>
      </c>
      <c r="B99" s="49"/>
      <c r="C99" s="50"/>
      <c r="D99" s="50"/>
      <c r="E99" s="50"/>
      <c r="F99" s="50"/>
      <c r="G99" s="50"/>
      <c r="H99" s="50"/>
      <c r="I99" s="50"/>
      <c r="J99" s="50"/>
      <c r="K99" s="51">
        <v>238000</v>
      </c>
    </row>
    <row r="100" spans="1:11" ht="13.5" thickBot="1">
      <c r="A100" s="45" t="s">
        <v>58</v>
      </c>
      <c r="B100" s="41"/>
      <c r="C100" s="24"/>
      <c r="D100" s="32">
        <f>$E$32</f>
        <v>156800</v>
      </c>
      <c r="E100" s="32">
        <f aca="true" t="shared" si="22" ref="E100:K100">$D100</f>
        <v>156800</v>
      </c>
      <c r="F100" s="32">
        <f t="shared" si="22"/>
        <v>156800</v>
      </c>
      <c r="G100" s="32">
        <f t="shared" si="22"/>
        <v>156800</v>
      </c>
      <c r="H100" s="32">
        <f t="shared" si="22"/>
        <v>156800</v>
      </c>
      <c r="I100" s="32">
        <f t="shared" si="22"/>
        <v>156800</v>
      </c>
      <c r="J100" s="32">
        <f t="shared" si="22"/>
        <v>156800</v>
      </c>
      <c r="K100" s="31">
        <f t="shared" si="22"/>
        <v>156800</v>
      </c>
    </row>
    <row r="101" spans="1:11" ht="13.5" thickBot="1">
      <c r="A101" s="42" t="s">
        <v>59</v>
      </c>
      <c r="B101" s="43"/>
      <c r="C101" s="27">
        <f aca="true" t="shared" si="23" ref="C101:K101">SUM(C96:C100)</f>
        <v>38000</v>
      </c>
      <c r="D101" s="27">
        <f t="shared" si="23"/>
        <v>156800</v>
      </c>
      <c r="E101" s="27">
        <f t="shared" si="23"/>
        <v>156800</v>
      </c>
      <c r="F101" s="27">
        <f t="shared" si="23"/>
        <v>156800</v>
      </c>
      <c r="G101" s="27">
        <f t="shared" si="23"/>
        <v>156800</v>
      </c>
      <c r="H101" s="27">
        <f t="shared" si="23"/>
        <v>156800</v>
      </c>
      <c r="I101" s="27">
        <f t="shared" si="23"/>
        <v>156800</v>
      </c>
      <c r="J101" s="27">
        <f t="shared" si="23"/>
        <v>156800</v>
      </c>
      <c r="K101" s="28">
        <f t="shared" si="23"/>
        <v>414800</v>
      </c>
    </row>
    <row r="102" spans="1:11" ht="13.5" thickBot="1">
      <c r="A102" s="46" t="s">
        <v>60</v>
      </c>
      <c r="B102" s="47"/>
      <c r="C102" s="25">
        <f aca="true" t="shared" si="24" ref="C102:K102">C101-C95</f>
        <v>-1000000</v>
      </c>
      <c r="D102" s="25">
        <f t="shared" si="24"/>
        <v>156800</v>
      </c>
      <c r="E102" s="25">
        <f t="shared" si="24"/>
        <v>156800</v>
      </c>
      <c r="F102" s="25">
        <f t="shared" si="24"/>
        <v>156800</v>
      </c>
      <c r="G102" s="25">
        <f t="shared" si="24"/>
        <v>156800</v>
      </c>
      <c r="H102" s="25">
        <f t="shared" si="24"/>
        <v>156800</v>
      </c>
      <c r="I102" s="25">
        <f t="shared" si="24"/>
        <v>156800</v>
      </c>
      <c r="J102" s="25">
        <f t="shared" si="24"/>
        <v>156800</v>
      </c>
      <c r="K102" s="8">
        <f t="shared" si="24"/>
        <v>414800</v>
      </c>
    </row>
    <row r="103" ht="13.5" thickTop="1"/>
    <row r="104" spans="1:9" ht="12.75">
      <c r="A104" s="3" t="s">
        <v>61</v>
      </c>
      <c r="B104" s="53">
        <f>NPV($C$15,$D102:$K102)+$C102</f>
        <v>18556.589654380223</v>
      </c>
      <c r="C104" s="3" t="s">
        <v>62</v>
      </c>
      <c r="F104" s="53"/>
      <c r="G104" s="21" t="s">
        <v>63</v>
      </c>
      <c r="I104" s="53">
        <f>NPV($G$15,$D102:$K102)+$C102</f>
        <v>12383.812690127059</v>
      </c>
    </row>
    <row r="105" spans="1:9" ht="12.75">
      <c r="A105" s="3" t="s">
        <v>64</v>
      </c>
      <c r="B105" s="54">
        <f>IRR($C102:$K102)</f>
        <v>0.08936456418405847</v>
      </c>
      <c r="C105" s="3" t="s">
        <v>65</v>
      </c>
      <c r="F105" s="54">
        <f>MIRR($C102:$K102,$C$15,$K$15)</f>
        <v>0.08536809755438957</v>
      </c>
      <c r="G105" s="3" t="s">
        <v>66</v>
      </c>
      <c r="I105" s="53">
        <f>$C$5*$G$14*ABS($C102)*$G$11*(1-((1+$G$12)^-8))/$G$12</f>
        <v>33208.91468848213</v>
      </c>
    </row>
    <row r="106" spans="1:9" ht="12.75">
      <c r="A106" s="3" t="s">
        <v>67</v>
      </c>
      <c r="B106" s="53"/>
      <c r="C106" s="3" t="s">
        <v>68</v>
      </c>
      <c r="F106" s="53"/>
      <c r="G106" s="3" t="s">
        <v>69</v>
      </c>
      <c r="I106" s="53">
        <v>0</v>
      </c>
    </row>
    <row r="107" spans="1:9" ht="12.75">
      <c r="A107" t="s">
        <v>70</v>
      </c>
      <c r="B107" s="53"/>
      <c r="C107" s="3" t="s">
        <v>71</v>
      </c>
      <c r="F107" s="53"/>
      <c r="G107" s="3" t="s">
        <v>72</v>
      </c>
      <c r="I107" s="53">
        <f>SUM(I104:I106)</f>
        <v>45592.72737860919</v>
      </c>
    </row>
    <row r="108" spans="2:9" ht="12.75">
      <c r="B108" s="34"/>
      <c r="C108" s="3"/>
      <c r="F108" s="34"/>
      <c r="G108" s="3"/>
      <c r="I108" s="34"/>
    </row>
    <row r="109" ht="13.5" thickBot="1">
      <c r="A109" s="23" t="s">
        <v>76</v>
      </c>
    </row>
    <row r="110" spans="1:11" ht="14.25" thickBot="1" thickTop="1">
      <c r="A110" s="36" t="s">
        <v>49</v>
      </c>
      <c r="B110" s="37"/>
      <c r="C110" s="26">
        <v>0</v>
      </c>
      <c r="D110" s="26">
        <v>1</v>
      </c>
      <c r="E110" s="26">
        <v>2</v>
      </c>
      <c r="F110" s="26">
        <v>3</v>
      </c>
      <c r="G110" s="26">
        <v>4</v>
      </c>
      <c r="H110" s="26">
        <v>5</v>
      </c>
      <c r="I110" s="26">
        <v>6</v>
      </c>
      <c r="J110" s="26">
        <v>7</v>
      </c>
      <c r="K110" s="11">
        <v>8</v>
      </c>
    </row>
    <row r="111" spans="1:11" ht="12.75">
      <c r="A111" s="38" t="s">
        <v>50</v>
      </c>
      <c r="B111" s="39"/>
      <c r="C111" s="29">
        <v>800000</v>
      </c>
      <c r="D111" s="29"/>
      <c r="E111" s="29"/>
      <c r="F111" s="29"/>
      <c r="G111" s="29"/>
      <c r="H111" s="29"/>
      <c r="I111" s="29"/>
      <c r="J111" s="29"/>
      <c r="K111" s="30"/>
    </row>
    <row r="112" spans="1:11" ht="13.5" thickBot="1">
      <c r="A112" s="40" t="s">
        <v>51</v>
      </c>
      <c r="B112" s="41"/>
      <c r="C112" s="24">
        <v>238000</v>
      </c>
      <c r="D112" s="24"/>
      <c r="E112" s="24"/>
      <c r="F112" s="24"/>
      <c r="G112" s="24"/>
      <c r="H112" s="24"/>
      <c r="I112" s="24"/>
      <c r="J112" s="24"/>
      <c r="K112" s="5"/>
    </row>
    <row r="113" spans="1:11" ht="13.5" thickBot="1">
      <c r="A113" s="42" t="s">
        <v>52</v>
      </c>
      <c r="B113" s="43"/>
      <c r="C113" s="27">
        <f aca="true" t="shared" si="25" ref="C113:K113">SUM(C111:C112)</f>
        <v>1038000</v>
      </c>
      <c r="D113" s="27">
        <f t="shared" si="25"/>
        <v>0</v>
      </c>
      <c r="E113" s="27">
        <f t="shared" si="25"/>
        <v>0</v>
      </c>
      <c r="F113" s="27">
        <f t="shared" si="25"/>
        <v>0</v>
      </c>
      <c r="G113" s="27">
        <f t="shared" si="25"/>
        <v>0</v>
      </c>
      <c r="H113" s="27">
        <f t="shared" si="25"/>
        <v>0</v>
      </c>
      <c r="I113" s="27">
        <f t="shared" si="25"/>
        <v>0</v>
      </c>
      <c r="J113" s="27">
        <f t="shared" si="25"/>
        <v>0</v>
      </c>
      <c r="K113" s="28">
        <f t="shared" si="25"/>
        <v>0</v>
      </c>
    </row>
    <row r="114" spans="1:11" ht="12.75">
      <c r="A114" s="44" t="s">
        <v>53</v>
      </c>
      <c r="B114" s="39"/>
      <c r="C114" s="29">
        <v>7000</v>
      </c>
      <c r="D114" s="29"/>
      <c r="E114" s="29"/>
      <c r="F114" s="29"/>
      <c r="G114" s="29"/>
      <c r="H114" s="29"/>
      <c r="I114" s="29"/>
      <c r="J114" s="29"/>
      <c r="K114" s="30"/>
    </row>
    <row r="115" spans="1:11" ht="12.75">
      <c r="A115" s="35" t="s">
        <v>54</v>
      </c>
      <c r="B115" s="39"/>
      <c r="C115" s="29">
        <v>31000</v>
      </c>
      <c r="D115" s="29"/>
      <c r="E115" s="29"/>
      <c r="F115" s="29"/>
      <c r="G115" s="29"/>
      <c r="H115" s="29"/>
      <c r="I115" s="29"/>
      <c r="J115" s="29"/>
      <c r="K115" s="30"/>
    </row>
    <row r="116" spans="1:11" ht="12.75">
      <c r="A116" s="6" t="s">
        <v>56</v>
      </c>
      <c r="B116" s="41"/>
      <c r="C116" s="24"/>
      <c r="D116" s="24"/>
      <c r="E116" s="24"/>
      <c r="F116" s="24"/>
      <c r="G116" s="24"/>
      <c r="H116" s="24"/>
      <c r="I116" s="24"/>
      <c r="J116" s="24"/>
      <c r="K116" s="5">
        <v>20000</v>
      </c>
    </row>
    <row r="117" spans="1:11" ht="12.75">
      <c r="A117" s="48" t="s">
        <v>57</v>
      </c>
      <c r="B117" s="49"/>
      <c r="C117" s="50"/>
      <c r="D117" s="50"/>
      <c r="E117" s="50"/>
      <c r="F117" s="50"/>
      <c r="G117" s="50"/>
      <c r="H117" s="50"/>
      <c r="I117" s="50"/>
      <c r="J117" s="50"/>
      <c r="K117" s="51">
        <v>238000</v>
      </c>
    </row>
    <row r="118" spans="1:11" ht="13.5" thickBot="1">
      <c r="A118" s="45" t="s">
        <v>58</v>
      </c>
      <c r="B118" s="41"/>
      <c r="C118" s="24"/>
      <c r="D118" s="32">
        <f>$F$32</f>
        <v>124800</v>
      </c>
      <c r="E118" s="32">
        <f aca="true" t="shared" si="26" ref="E118:K118">$D118</f>
        <v>124800</v>
      </c>
      <c r="F118" s="32">
        <f t="shared" si="26"/>
        <v>124800</v>
      </c>
      <c r="G118" s="32">
        <f t="shared" si="26"/>
        <v>124800</v>
      </c>
      <c r="H118" s="32">
        <f t="shared" si="26"/>
        <v>124800</v>
      </c>
      <c r="I118" s="32">
        <f t="shared" si="26"/>
        <v>124800</v>
      </c>
      <c r="J118" s="32">
        <f t="shared" si="26"/>
        <v>124800</v>
      </c>
      <c r="K118" s="31">
        <f t="shared" si="26"/>
        <v>124800</v>
      </c>
    </row>
    <row r="119" spans="1:11" ht="13.5" thickBot="1">
      <c r="A119" s="42" t="s">
        <v>59</v>
      </c>
      <c r="B119" s="43"/>
      <c r="C119" s="27">
        <f aca="true" t="shared" si="27" ref="C119:K119">SUM(C114:C118)</f>
        <v>38000</v>
      </c>
      <c r="D119" s="27">
        <f t="shared" si="27"/>
        <v>124800</v>
      </c>
      <c r="E119" s="27">
        <f t="shared" si="27"/>
        <v>124800</v>
      </c>
      <c r="F119" s="27">
        <f t="shared" si="27"/>
        <v>124800</v>
      </c>
      <c r="G119" s="27">
        <f t="shared" si="27"/>
        <v>124800</v>
      </c>
      <c r="H119" s="27">
        <f t="shared" si="27"/>
        <v>124800</v>
      </c>
      <c r="I119" s="27">
        <f t="shared" si="27"/>
        <v>124800</v>
      </c>
      <c r="J119" s="27">
        <f t="shared" si="27"/>
        <v>124800</v>
      </c>
      <c r="K119" s="28">
        <f t="shared" si="27"/>
        <v>382800</v>
      </c>
    </row>
    <row r="120" spans="1:11" ht="13.5" thickBot="1">
      <c r="A120" s="46" t="s">
        <v>60</v>
      </c>
      <c r="B120" s="47"/>
      <c r="C120" s="25">
        <f aca="true" t="shared" si="28" ref="C120:K120">C119-C113</f>
        <v>-1000000</v>
      </c>
      <c r="D120" s="25">
        <f t="shared" si="28"/>
        <v>124800</v>
      </c>
      <c r="E120" s="25">
        <f t="shared" si="28"/>
        <v>124800</v>
      </c>
      <c r="F120" s="25">
        <f t="shared" si="28"/>
        <v>124800</v>
      </c>
      <c r="G120" s="25">
        <f t="shared" si="28"/>
        <v>124800</v>
      </c>
      <c r="H120" s="25">
        <f t="shared" si="28"/>
        <v>124800</v>
      </c>
      <c r="I120" s="25">
        <f t="shared" si="28"/>
        <v>124800</v>
      </c>
      <c r="J120" s="25">
        <f t="shared" si="28"/>
        <v>124800</v>
      </c>
      <c r="K120" s="8">
        <f t="shared" si="28"/>
        <v>382800</v>
      </c>
    </row>
    <row r="121" ht="13.5" thickTop="1"/>
    <row r="122" spans="1:9" ht="12.75">
      <c r="A122" s="3" t="s">
        <v>61</v>
      </c>
      <c r="B122" s="53">
        <f>NPV($C$15,$D120:$K120)+$C120</f>
        <v>-161897.26261201373</v>
      </c>
      <c r="C122" s="3" t="s">
        <v>62</v>
      </c>
      <c r="F122" s="53"/>
      <c r="G122" s="21" t="s">
        <v>63</v>
      </c>
      <c r="I122" s="53">
        <f>NPV($G$15,$D120:$K120)+$C120</f>
        <v>-167099.3154125011</v>
      </c>
    </row>
    <row r="123" spans="1:9" ht="12.75">
      <c r="A123" s="3" t="s">
        <v>64</v>
      </c>
      <c r="B123" s="54">
        <f>IRR($C120:$K120)</f>
        <v>0.04596880451480128</v>
      </c>
      <c r="C123" s="3" t="s">
        <v>65</v>
      </c>
      <c r="F123" s="54">
        <f>MIRR($C120:$K120,$C$15,$K$15)</f>
        <v>0.05930032960629239</v>
      </c>
      <c r="G123" s="3" t="s">
        <v>66</v>
      </c>
      <c r="I123" s="53">
        <f>$C$5*$G$14*ABS($C120)*$G$11*(1-((1+$G$12)^-8))/$G$12</f>
        <v>33208.91468848213</v>
      </c>
    </row>
    <row r="124" spans="1:9" ht="12.75">
      <c r="A124" s="3" t="s">
        <v>67</v>
      </c>
      <c r="B124" s="53"/>
      <c r="C124" s="3" t="s">
        <v>68</v>
      </c>
      <c r="F124" s="53"/>
      <c r="G124" s="3" t="s">
        <v>69</v>
      </c>
      <c r="I124" s="53">
        <v>0</v>
      </c>
    </row>
    <row r="125" spans="1:9" ht="12.75">
      <c r="A125" t="s">
        <v>70</v>
      </c>
      <c r="B125" s="53"/>
      <c r="C125" s="3" t="s">
        <v>71</v>
      </c>
      <c r="F125" s="53"/>
      <c r="G125" s="3" t="s">
        <v>72</v>
      </c>
      <c r="I125" s="53">
        <f>SUM(I122:I124)</f>
        <v>-133890.40072401898</v>
      </c>
    </row>
    <row r="127" ht="13.5" thickBot="1">
      <c r="A127" s="23" t="s">
        <v>77</v>
      </c>
    </row>
    <row r="128" spans="1:11" ht="14.25" thickBot="1" thickTop="1">
      <c r="A128" s="36" t="s">
        <v>49</v>
      </c>
      <c r="B128" s="37"/>
      <c r="C128" s="26">
        <v>0</v>
      </c>
      <c r="D128" s="26">
        <v>1</v>
      </c>
      <c r="E128" s="26">
        <v>2</v>
      </c>
      <c r="F128" s="26">
        <v>3</v>
      </c>
      <c r="G128" s="26">
        <v>4</v>
      </c>
      <c r="H128" s="26">
        <v>5</v>
      </c>
      <c r="I128" s="26">
        <v>6</v>
      </c>
      <c r="J128" s="26">
        <v>7</v>
      </c>
      <c r="K128" s="11">
        <v>8</v>
      </c>
    </row>
    <row r="129" spans="1:11" ht="12.75">
      <c r="A129" s="38" t="s">
        <v>50</v>
      </c>
      <c r="B129" s="39"/>
      <c r="C129" s="29">
        <v>800000</v>
      </c>
      <c r="D129" s="29"/>
      <c r="E129" s="29"/>
      <c r="F129" s="29"/>
      <c r="G129" s="29"/>
      <c r="H129" s="29"/>
      <c r="I129" s="29"/>
      <c r="J129" s="29"/>
      <c r="K129" s="30"/>
    </row>
    <row r="130" spans="1:11" ht="13.5" thickBot="1">
      <c r="A130" s="40" t="s">
        <v>51</v>
      </c>
      <c r="B130" s="41"/>
      <c r="C130" s="24">
        <v>238000</v>
      </c>
      <c r="D130" s="24"/>
      <c r="E130" s="24"/>
      <c r="F130" s="24"/>
      <c r="G130" s="24"/>
      <c r="H130" s="24"/>
      <c r="I130" s="24"/>
      <c r="J130" s="24"/>
      <c r="K130" s="5"/>
    </row>
    <row r="131" spans="1:11" ht="13.5" thickBot="1">
      <c r="A131" s="42" t="s">
        <v>52</v>
      </c>
      <c r="B131" s="43"/>
      <c r="C131" s="27">
        <f aca="true" t="shared" si="29" ref="C131:K131">SUM(C129:C130)</f>
        <v>1038000</v>
      </c>
      <c r="D131" s="27">
        <f t="shared" si="29"/>
        <v>0</v>
      </c>
      <c r="E131" s="27">
        <f t="shared" si="29"/>
        <v>0</v>
      </c>
      <c r="F131" s="27">
        <f t="shared" si="29"/>
        <v>0</v>
      </c>
      <c r="G131" s="27">
        <f t="shared" si="29"/>
        <v>0</v>
      </c>
      <c r="H131" s="27">
        <f t="shared" si="29"/>
        <v>0</v>
      </c>
      <c r="I131" s="27">
        <f t="shared" si="29"/>
        <v>0</v>
      </c>
      <c r="J131" s="27">
        <f t="shared" si="29"/>
        <v>0</v>
      </c>
      <c r="K131" s="28">
        <f t="shared" si="29"/>
        <v>0</v>
      </c>
    </row>
    <row r="132" spans="1:11" ht="12.75">
      <c r="A132" s="44" t="s">
        <v>53</v>
      </c>
      <c r="B132" s="39"/>
      <c r="C132" s="29">
        <v>7000</v>
      </c>
      <c r="D132" s="29"/>
      <c r="E132" s="29"/>
      <c r="F132" s="29"/>
      <c r="G132" s="29"/>
      <c r="H132" s="29"/>
      <c r="I132" s="29"/>
      <c r="J132" s="29"/>
      <c r="K132" s="30"/>
    </row>
    <row r="133" spans="1:11" ht="12.75">
      <c r="A133" s="35" t="s">
        <v>54</v>
      </c>
      <c r="B133" s="39"/>
      <c r="C133" s="29">
        <v>31000</v>
      </c>
      <c r="D133" s="29"/>
      <c r="E133" s="29"/>
      <c r="F133" s="29"/>
      <c r="G133" s="29"/>
      <c r="H133" s="29"/>
      <c r="I133" s="29"/>
      <c r="J133" s="29"/>
      <c r="K133" s="30"/>
    </row>
    <row r="134" spans="1:11" ht="12.75">
      <c r="A134" s="6" t="s">
        <v>56</v>
      </c>
      <c r="B134" s="41"/>
      <c r="C134" s="24"/>
      <c r="D134" s="24"/>
      <c r="E134" s="24"/>
      <c r="F134" s="24"/>
      <c r="G134" s="24"/>
      <c r="H134" s="24"/>
      <c r="I134" s="24"/>
      <c r="J134" s="24"/>
      <c r="K134" s="5">
        <v>20000</v>
      </c>
    </row>
    <row r="135" spans="1:11" ht="12.75">
      <c r="A135" s="48" t="s">
        <v>57</v>
      </c>
      <c r="B135" s="49"/>
      <c r="C135" s="50"/>
      <c r="D135" s="50"/>
      <c r="E135" s="50"/>
      <c r="F135" s="50"/>
      <c r="G135" s="50"/>
      <c r="H135" s="50"/>
      <c r="I135" s="50"/>
      <c r="J135" s="50"/>
      <c r="K135" s="51">
        <v>238000</v>
      </c>
    </row>
    <row r="136" spans="1:11" ht="13.5" thickBot="1">
      <c r="A136" s="45" t="s">
        <v>58</v>
      </c>
      <c r="B136" s="41"/>
      <c r="C136" s="24"/>
      <c r="D136" s="32">
        <f>$G$32</f>
        <v>220800</v>
      </c>
      <c r="E136" s="32">
        <f aca="true" t="shared" si="30" ref="E136:K136">$D136</f>
        <v>220800</v>
      </c>
      <c r="F136" s="32">
        <f t="shared" si="30"/>
        <v>220800</v>
      </c>
      <c r="G136" s="32">
        <f t="shared" si="30"/>
        <v>220800</v>
      </c>
      <c r="H136" s="32">
        <f t="shared" si="30"/>
        <v>220800</v>
      </c>
      <c r="I136" s="32">
        <f t="shared" si="30"/>
        <v>220800</v>
      </c>
      <c r="J136" s="32">
        <f t="shared" si="30"/>
        <v>220800</v>
      </c>
      <c r="K136" s="31">
        <f t="shared" si="30"/>
        <v>220800</v>
      </c>
    </row>
    <row r="137" spans="1:11" ht="13.5" thickBot="1">
      <c r="A137" s="42" t="s">
        <v>59</v>
      </c>
      <c r="B137" s="43"/>
      <c r="C137" s="27">
        <f aca="true" t="shared" si="31" ref="C137:K137">SUM(C132:C136)</f>
        <v>38000</v>
      </c>
      <c r="D137" s="27">
        <f t="shared" si="31"/>
        <v>220800</v>
      </c>
      <c r="E137" s="27">
        <f t="shared" si="31"/>
        <v>220800</v>
      </c>
      <c r="F137" s="27">
        <f t="shared" si="31"/>
        <v>220800</v>
      </c>
      <c r="G137" s="27">
        <f t="shared" si="31"/>
        <v>220800</v>
      </c>
      <c r="H137" s="27">
        <f t="shared" si="31"/>
        <v>220800</v>
      </c>
      <c r="I137" s="27">
        <f t="shared" si="31"/>
        <v>220800</v>
      </c>
      <c r="J137" s="27">
        <f t="shared" si="31"/>
        <v>220800</v>
      </c>
      <c r="K137" s="28">
        <f t="shared" si="31"/>
        <v>478800</v>
      </c>
    </row>
    <row r="138" spans="1:11" ht="13.5" thickBot="1">
      <c r="A138" s="46" t="s">
        <v>60</v>
      </c>
      <c r="B138" s="47"/>
      <c r="C138" s="25">
        <f aca="true" t="shared" si="32" ref="C138:K138">C137-C131</f>
        <v>-1000000</v>
      </c>
      <c r="D138" s="25">
        <f t="shared" si="32"/>
        <v>220800</v>
      </c>
      <c r="E138" s="25">
        <f t="shared" si="32"/>
        <v>220800</v>
      </c>
      <c r="F138" s="25">
        <f t="shared" si="32"/>
        <v>220800</v>
      </c>
      <c r="G138" s="25">
        <f t="shared" si="32"/>
        <v>220800</v>
      </c>
      <c r="H138" s="25">
        <f t="shared" si="32"/>
        <v>220800</v>
      </c>
      <c r="I138" s="25">
        <f t="shared" si="32"/>
        <v>220800</v>
      </c>
      <c r="J138" s="25">
        <f t="shared" si="32"/>
        <v>220800</v>
      </c>
      <c r="K138" s="8">
        <f t="shared" si="32"/>
        <v>478800</v>
      </c>
    </row>
    <row r="139" ht="13.5" thickTop="1"/>
    <row r="140" spans="1:9" ht="12.75">
      <c r="A140" s="3" t="s">
        <v>61</v>
      </c>
      <c r="B140" s="53">
        <f>NPV($C$15,$D138:$K138)+$C138</f>
        <v>379464.2941871679</v>
      </c>
      <c r="C140" s="3" t="s">
        <v>62</v>
      </c>
      <c r="F140" s="53"/>
      <c r="G140" s="21" t="s">
        <v>63</v>
      </c>
      <c r="I140" s="53">
        <f>NPV($G$15,$D138:$K138)+$C138</f>
        <v>371350.0688953835</v>
      </c>
    </row>
    <row r="141" spans="1:9" ht="12.75">
      <c r="A141" s="3" t="s">
        <v>64</v>
      </c>
      <c r="B141" s="54">
        <f>IRR($C138:$K138)</f>
        <v>0.1707039773131359</v>
      </c>
      <c r="C141" s="3" t="s">
        <v>65</v>
      </c>
      <c r="F141" s="54">
        <f>MIRR($C138:$K138,$C$15,$K$15)</f>
        <v>0.12721982804170473</v>
      </c>
      <c r="G141" s="3" t="s">
        <v>66</v>
      </c>
      <c r="I141" s="53">
        <f>$C$5*$G$14*ABS($C138)*$G$11*(1-((1+$G$12)^-8))/$G$12</f>
        <v>33208.91468848213</v>
      </c>
    </row>
    <row r="142" spans="1:9" ht="12.75">
      <c r="A142" s="3" t="s">
        <v>67</v>
      </c>
      <c r="B142" s="53"/>
      <c r="C142" s="3" t="s">
        <v>68</v>
      </c>
      <c r="F142" s="53"/>
      <c r="G142" s="3" t="s">
        <v>69</v>
      </c>
      <c r="I142" s="53">
        <v>0</v>
      </c>
    </row>
    <row r="143" spans="1:9" ht="12.75">
      <c r="A143" t="s">
        <v>70</v>
      </c>
      <c r="B143" s="53"/>
      <c r="C143" s="3" t="s">
        <v>71</v>
      </c>
      <c r="F143" s="53"/>
      <c r="G143" s="3" t="s">
        <v>72</v>
      </c>
      <c r="I143" s="53">
        <f>SUM(I140:I142)</f>
        <v>404558.9835838656</v>
      </c>
    </row>
    <row r="145" ht="12.75">
      <c r="A145" s="23" t="s">
        <v>78</v>
      </c>
    </row>
    <row r="146" ht="13.5" thickBot="1"/>
    <row r="147" spans="1:11" ht="14.25" thickBot="1" thickTop="1">
      <c r="A147" s="36" t="s">
        <v>49</v>
      </c>
      <c r="B147" s="37"/>
      <c r="C147" s="26">
        <v>0</v>
      </c>
      <c r="D147" s="26">
        <v>1</v>
      </c>
      <c r="E147" s="26">
        <v>2</v>
      </c>
      <c r="F147" s="26">
        <v>3</v>
      </c>
      <c r="G147" s="26">
        <v>4</v>
      </c>
      <c r="H147" s="26">
        <v>5</v>
      </c>
      <c r="I147" s="26">
        <v>6</v>
      </c>
      <c r="J147" s="26">
        <v>7</v>
      </c>
      <c r="K147" s="11">
        <v>8</v>
      </c>
    </row>
    <row r="148" spans="1:11" ht="12.75">
      <c r="A148" s="38" t="s">
        <v>50</v>
      </c>
      <c r="B148" s="39"/>
      <c r="C148" s="29">
        <v>800000</v>
      </c>
      <c r="D148" s="29"/>
      <c r="E148" s="29"/>
      <c r="F148" s="29"/>
      <c r="G148" s="29"/>
      <c r="H148" s="29"/>
      <c r="I148" s="29"/>
      <c r="J148" s="29"/>
      <c r="K148" s="30"/>
    </row>
    <row r="149" spans="1:11" ht="13.5" thickBot="1">
      <c r="A149" s="40" t="s">
        <v>51</v>
      </c>
      <c r="B149" s="41"/>
      <c r="C149" s="24">
        <v>238000</v>
      </c>
      <c r="D149" s="24"/>
      <c r="E149" s="24"/>
      <c r="F149" s="24"/>
      <c r="G149" s="24"/>
      <c r="H149" s="24"/>
      <c r="I149" s="24"/>
      <c r="J149" s="24"/>
      <c r="K149" s="5"/>
    </row>
    <row r="150" spans="1:11" ht="13.5" thickBot="1">
      <c r="A150" s="42" t="s">
        <v>52</v>
      </c>
      <c r="B150" s="43"/>
      <c r="C150" s="27">
        <f aca="true" t="shared" si="33" ref="C150:K150">SUM(C148:C149)</f>
        <v>1038000</v>
      </c>
      <c r="D150" s="27">
        <f t="shared" si="33"/>
        <v>0</v>
      </c>
      <c r="E150" s="27">
        <f t="shared" si="33"/>
        <v>0</v>
      </c>
      <c r="F150" s="27">
        <f t="shared" si="33"/>
        <v>0</v>
      </c>
      <c r="G150" s="27">
        <f t="shared" si="33"/>
        <v>0</v>
      </c>
      <c r="H150" s="27">
        <f t="shared" si="33"/>
        <v>0</v>
      </c>
      <c r="I150" s="27">
        <f t="shared" si="33"/>
        <v>0</v>
      </c>
      <c r="J150" s="27">
        <f t="shared" si="33"/>
        <v>0</v>
      </c>
      <c r="K150" s="28">
        <f t="shared" si="33"/>
        <v>0</v>
      </c>
    </row>
    <row r="151" spans="1:11" ht="12.75">
      <c r="A151" s="35" t="s">
        <v>53</v>
      </c>
      <c r="B151" s="39"/>
      <c r="C151" s="29">
        <v>7000</v>
      </c>
      <c r="D151" s="29"/>
      <c r="E151" s="29"/>
      <c r="F151" s="29"/>
      <c r="G151" s="29"/>
      <c r="H151" s="29"/>
      <c r="I151" s="29"/>
      <c r="J151" s="29"/>
      <c r="K151" s="30"/>
    </row>
    <row r="152" spans="1:11" ht="12.75">
      <c r="A152" s="35" t="s">
        <v>54</v>
      </c>
      <c r="B152" s="39"/>
      <c r="C152" s="29">
        <v>31000</v>
      </c>
      <c r="D152" s="29"/>
      <c r="E152" s="29"/>
      <c r="F152" s="29"/>
      <c r="G152" s="29"/>
      <c r="H152" s="29"/>
      <c r="I152" s="29"/>
      <c r="J152" s="29"/>
      <c r="K152" s="30"/>
    </row>
    <row r="153" spans="1:11" ht="12.75">
      <c r="A153" s="6" t="s">
        <v>56</v>
      </c>
      <c r="B153" s="41"/>
      <c r="C153" s="24"/>
      <c r="D153" s="24"/>
      <c r="E153" s="24"/>
      <c r="F153" s="24"/>
      <c r="G153" s="24"/>
      <c r="H153" s="24"/>
      <c r="I153" s="24"/>
      <c r="J153" s="24"/>
      <c r="K153" s="5">
        <v>20000</v>
      </c>
    </row>
    <row r="154" spans="1:11" ht="12.75">
      <c r="A154" s="48" t="s">
        <v>57</v>
      </c>
      <c r="B154" s="49"/>
      <c r="C154" s="50"/>
      <c r="D154" s="50"/>
      <c r="E154" s="50"/>
      <c r="F154" s="50"/>
      <c r="G154" s="50"/>
      <c r="H154" s="50"/>
      <c r="I154" s="50"/>
      <c r="J154" s="50"/>
      <c r="K154" s="51">
        <v>238000</v>
      </c>
    </row>
    <row r="155" spans="1:11" ht="13.5" thickBot="1">
      <c r="A155" s="45" t="s">
        <v>58</v>
      </c>
      <c r="B155" s="41"/>
      <c r="C155" s="24"/>
      <c r="D155" s="32">
        <f>$H$32</f>
        <v>71466.66666666666</v>
      </c>
      <c r="E155" s="32">
        <f aca="true" t="shared" si="34" ref="E155:K155">$D155</f>
        <v>71466.66666666666</v>
      </c>
      <c r="F155" s="32">
        <f t="shared" si="34"/>
        <v>71466.66666666666</v>
      </c>
      <c r="G155" s="32">
        <f t="shared" si="34"/>
        <v>71466.66666666666</v>
      </c>
      <c r="H155" s="32">
        <f t="shared" si="34"/>
        <v>71466.66666666666</v>
      </c>
      <c r="I155" s="32">
        <f t="shared" si="34"/>
        <v>71466.66666666666</v>
      </c>
      <c r="J155" s="32">
        <f t="shared" si="34"/>
        <v>71466.66666666666</v>
      </c>
      <c r="K155" s="31">
        <f t="shared" si="34"/>
        <v>71466.66666666666</v>
      </c>
    </row>
    <row r="156" spans="1:11" ht="13.5" thickBot="1">
      <c r="A156" s="42" t="s">
        <v>59</v>
      </c>
      <c r="B156" s="43"/>
      <c r="C156" s="27">
        <f aca="true" t="shared" si="35" ref="C156:K156">SUM(C151:C155)</f>
        <v>38000</v>
      </c>
      <c r="D156" s="27">
        <f t="shared" si="35"/>
        <v>71466.66666666666</v>
      </c>
      <c r="E156" s="27">
        <f t="shared" si="35"/>
        <v>71466.66666666666</v>
      </c>
      <c r="F156" s="27">
        <f t="shared" si="35"/>
        <v>71466.66666666666</v>
      </c>
      <c r="G156" s="27">
        <f t="shared" si="35"/>
        <v>71466.66666666666</v>
      </c>
      <c r="H156" s="27">
        <f t="shared" si="35"/>
        <v>71466.66666666666</v>
      </c>
      <c r="I156" s="27">
        <f t="shared" si="35"/>
        <v>71466.66666666666</v>
      </c>
      <c r="J156" s="27">
        <f t="shared" si="35"/>
        <v>71466.66666666666</v>
      </c>
      <c r="K156" s="28">
        <f t="shared" si="35"/>
        <v>329466.6666666666</v>
      </c>
    </row>
    <row r="157" spans="1:11" ht="13.5" thickBot="1">
      <c r="A157" s="46" t="s">
        <v>60</v>
      </c>
      <c r="B157" s="47"/>
      <c r="C157" s="25">
        <f aca="true" t="shared" si="36" ref="C157:K157">C156-C150</f>
        <v>-1000000</v>
      </c>
      <c r="D157" s="25">
        <f t="shared" si="36"/>
        <v>71466.66666666666</v>
      </c>
      <c r="E157" s="25">
        <f t="shared" si="36"/>
        <v>71466.66666666666</v>
      </c>
      <c r="F157" s="25">
        <f t="shared" si="36"/>
        <v>71466.66666666666</v>
      </c>
      <c r="G157" s="25">
        <f t="shared" si="36"/>
        <v>71466.66666666666</v>
      </c>
      <c r="H157" s="25">
        <f t="shared" si="36"/>
        <v>71466.66666666666</v>
      </c>
      <c r="I157" s="25">
        <f t="shared" si="36"/>
        <v>71466.66666666666</v>
      </c>
      <c r="J157" s="25">
        <f t="shared" si="36"/>
        <v>71466.66666666666</v>
      </c>
      <c r="K157" s="8">
        <f t="shared" si="36"/>
        <v>329466.6666666666</v>
      </c>
    </row>
    <row r="158" ht="13.5" thickTop="1"/>
    <row r="159" spans="1:9" ht="12.75">
      <c r="A159" s="3" t="s">
        <v>61</v>
      </c>
      <c r="B159" s="53">
        <f>NPV($C$15,$D157:$K157)+$C157</f>
        <v>-462653.68305600365</v>
      </c>
      <c r="C159" s="3" t="s">
        <v>62</v>
      </c>
      <c r="F159" s="53"/>
      <c r="G159" s="21" t="s">
        <v>63</v>
      </c>
      <c r="I159" s="53">
        <f>NPV($G$15,$D157:$K157)+$C157</f>
        <v>-466237.86225021514</v>
      </c>
    </row>
    <row r="160" spans="1:9" ht="12.75">
      <c r="A160" s="3" t="s">
        <v>64</v>
      </c>
      <c r="B160" s="54">
        <f>IRR($C157:$K157)</f>
        <v>-0.03227593568238928</v>
      </c>
      <c r="C160" s="3" t="s">
        <v>65</v>
      </c>
      <c r="F160" s="54">
        <f>MIRR($C157:$K157,$C$15,$K$15)</f>
        <v>0.002252698622004168</v>
      </c>
      <c r="G160" s="3" t="s">
        <v>66</v>
      </c>
      <c r="I160" s="53">
        <f>$C$5*$G$14*ABS($C157)*$G$11*(1-((1+$G$12)^-8))/$G$12</f>
        <v>33208.91468848213</v>
      </c>
    </row>
    <row r="161" spans="1:9" ht="12.75">
      <c r="A161" s="3" t="s">
        <v>67</v>
      </c>
      <c r="B161" s="53"/>
      <c r="C161" s="3" t="s">
        <v>68</v>
      </c>
      <c r="F161" s="53"/>
      <c r="G161" s="3" t="s">
        <v>69</v>
      </c>
      <c r="I161" s="53">
        <v>0</v>
      </c>
    </row>
    <row r="162" spans="1:9" ht="12.75">
      <c r="A162" t="s">
        <v>70</v>
      </c>
      <c r="B162" s="53"/>
      <c r="C162" s="3" t="s">
        <v>71</v>
      </c>
      <c r="F162" s="53"/>
      <c r="G162" s="3" t="s">
        <v>72</v>
      </c>
      <c r="I162" s="53">
        <f>SUM(I159:I161)</f>
        <v>-433028.947561733</v>
      </c>
    </row>
    <row r="163" spans="2:9" ht="12.75">
      <c r="B163" s="34"/>
      <c r="C163" s="3"/>
      <c r="F163" s="34"/>
      <c r="G163" s="3"/>
      <c r="I163" s="34"/>
    </row>
    <row r="164" ht="13.5" thickBot="1">
      <c r="A164" s="23" t="s">
        <v>79</v>
      </c>
    </row>
    <row r="165" spans="1:11" ht="14.25" thickBot="1" thickTop="1">
      <c r="A165" s="36" t="s">
        <v>49</v>
      </c>
      <c r="B165" s="37"/>
      <c r="C165" s="26">
        <v>0</v>
      </c>
      <c r="D165" s="26">
        <v>1</v>
      </c>
      <c r="E165" s="26">
        <v>2</v>
      </c>
      <c r="F165" s="26">
        <v>3</v>
      </c>
      <c r="G165" s="26">
        <v>4</v>
      </c>
      <c r="H165" s="26">
        <v>5</v>
      </c>
      <c r="I165" s="26">
        <v>6</v>
      </c>
      <c r="J165" s="26">
        <v>7</v>
      </c>
      <c r="K165" s="11">
        <v>8</v>
      </c>
    </row>
    <row r="166" spans="1:11" ht="12.75">
      <c r="A166" s="38" t="s">
        <v>50</v>
      </c>
      <c r="B166" s="39"/>
      <c r="C166" s="29">
        <v>800000</v>
      </c>
      <c r="D166" s="29"/>
      <c r="E166" s="29"/>
      <c r="F166" s="29"/>
      <c r="G166" s="29"/>
      <c r="H166" s="29"/>
      <c r="I166" s="29"/>
      <c r="J166" s="29"/>
      <c r="K166" s="30"/>
    </row>
    <row r="167" spans="1:11" ht="13.5" thickBot="1">
      <c r="A167" s="40" t="s">
        <v>51</v>
      </c>
      <c r="B167" s="41"/>
      <c r="C167" s="24">
        <v>238000</v>
      </c>
      <c r="D167" s="24"/>
      <c r="E167" s="24"/>
      <c r="F167" s="24"/>
      <c r="G167" s="24"/>
      <c r="H167" s="24"/>
      <c r="I167" s="24"/>
      <c r="J167" s="24"/>
      <c r="K167" s="5"/>
    </row>
    <row r="168" spans="1:11" ht="13.5" thickBot="1">
      <c r="A168" s="42" t="s">
        <v>52</v>
      </c>
      <c r="B168" s="43"/>
      <c r="C168" s="27">
        <f aca="true" t="shared" si="37" ref="C168:K168">SUM(C166:C167)</f>
        <v>1038000</v>
      </c>
      <c r="D168" s="27">
        <f t="shared" si="37"/>
        <v>0</v>
      </c>
      <c r="E168" s="27">
        <f t="shared" si="37"/>
        <v>0</v>
      </c>
      <c r="F168" s="27">
        <f t="shared" si="37"/>
        <v>0</v>
      </c>
      <c r="G168" s="27">
        <f t="shared" si="37"/>
        <v>0</v>
      </c>
      <c r="H168" s="27">
        <f t="shared" si="37"/>
        <v>0</v>
      </c>
      <c r="I168" s="27">
        <f t="shared" si="37"/>
        <v>0</v>
      </c>
      <c r="J168" s="27">
        <f t="shared" si="37"/>
        <v>0</v>
      </c>
      <c r="K168" s="28">
        <f t="shared" si="37"/>
        <v>0</v>
      </c>
    </row>
    <row r="169" spans="1:11" ht="12.75">
      <c r="A169" s="44" t="s">
        <v>53</v>
      </c>
      <c r="B169" s="39"/>
      <c r="C169" s="29">
        <v>7000</v>
      </c>
      <c r="D169" s="29"/>
      <c r="E169" s="29"/>
      <c r="F169" s="29"/>
      <c r="G169" s="29"/>
      <c r="H169" s="29"/>
      <c r="I169" s="29"/>
      <c r="J169" s="29"/>
      <c r="K169" s="30"/>
    </row>
    <row r="170" spans="1:11" ht="12.75">
      <c r="A170" s="35" t="s">
        <v>54</v>
      </c>
      <c r="B170" s="39"/>
      <c r="C170" s="29">
        <v>31000</v>
      </c>
      <c r="D170" s="29"/>
      <c r="E170" s="29"/>
      <c r="F170" s="29"/>
      <c r="G170" s="29"/>
      <c r="H170" s="29"/>
      <c r="I170" s="29"/>
      <c r="J170" s="29"/>
      <c r="K170" s="30"/>
    </row>
    <row r="171" spans="1:11" ht="12.75">
      <c r="A171" s="6" t="s">
        <v>56</v>
      </c>
      <c r="B171" s="41"/>
      <c r="C171" s="24"/>
      <c r="D171" s="24"/>
      <c r="E171" s="24"/>
      <c r="F171" s="24"/>
      <c r="G171" s="24"/>
      <c r="H171" s="24"/>
      <c r="I171" s="24"/>
      <c r="J171" s="24"/>
      <c r="K171" s="5">
        <v>20000</v>
      </c>
    </row>
    <row r="172" spans="1:11" ht="12.75">
      <c r="A172" s="48" t="s">
        <v>57</v>
      </c>
      <c r="B172" s="49"/>
      <c r="C172" s="50"/>
      <c r="D172" s="50"/>
      <c r="E172" s="50"/>
      <c r="F172" s="50"/>
      <c r="G172" s="50"/>
      <c r="H172" s="50"/>
      <c r="I172" s="50"/>
      <c r="J172" s="50"/>
      <c r="K172" s="51">
        <v>238000</v>
      </c>
    </row>
    <row r="173" spans="1:11" ht="13.5" thickBot="1">
      <c r="A173" s="45" t="s">
        <v>58</v>
      </c>
      <c r="B173" s="41"/>
      <c r="C173" s="24"/>
      <c r="D173" s="32">
        <f>$I$32</f>
        <v>114133.33333333333</v>
      </c>
      <c r="E173" s="32">
        <f aca="true" t="shared" si="38" ref="E173:K173">$D173</f>
        <v>114133.33333333333</v>
      </c>
      <c r="F173" s="32">
        <f t="shared" si="38"/>
        <v>114133.33333333333</v>
      </c>
      <c r="G173" s="32">
        <f t="shared" si="38"/>
        <v>114133.33333333333</v>
      </c>
      <c r="H173" s="32">
        <f t="shared" si="38"/>
        <v>114133.33333333333</v>
      </c>
      <c r="I173" s="32">
        <f t="shared" si="38"/>
        <v>114133.33333333333</v>
      </c>
      <c r="J173" s="32">
        <f t="shared" si="38"/>
        <v>114133.33333333333</v>
      </c>
      <c r="K173" s="31">
        <f t="shared" si="38"/>
        <v>114133.33333333333</v>
      </c>
    </row>
    <row r="174" spans="1:11" ht="13.5" thickBot="1">
      <c r="A174" s="42" t="s">
        <v>59</v>
      </c>
      <c r="B174" s="43"/>
      <c r="C174" s="27">
        <f aca="true" t="shared" si="39" ref="C174:K174">SUM(C169:C173)</f>
        <v>38000</v>
      </c>
      <c r="D174" s="27">
        <f t="shared" si="39"/>
        <v>114133.33333333333</v>
      </c>
      <c r="E174" s="27">
        <f t="shared" si="39"/>
        <v>114133.33333333333</v>
      </c>
      <c r="F174" s="27">
        <f t="shared" si="39"/>
        <v>114133.33333333333</v>
      </c>
      <c r="G174" s="27">
        <f t="shared" si="39"/>
        <v>114133.33333333333</v>
      </c>
      <c r="H174" s="27">
        <f t="shared" si="39"/>
        <v>114133.33333333333</v>
      </c>
      <c r="I174" s="27">
        <f t="shared" si="39"/>
        <v>114133.33333333333</v>
      </c>
      <c r="J174" s="27">
        <f t="shared" si="39"/>
        <v>114133.33333333333</v>
      </c>
      <c r="K174" s="28">
        <f t="shared" si="39"/>
        <v>372133.3333333333</v>
      </c>
    </row>
    <row r="175" spans="1:11" ht="13.5" thickBot="1">
      <c r="A175" s="46" t="s">
        <v>60</v>
      </c>
      <c r="B175" s="47"/>
      <c r="C175" s="25">
        <f aca="true" t="shared" si="40" ref="C175:K175">C174-C168</f>
        <v>-1000000</v>
      </c>
      <c r="D175" s="25">
        <f t="shared" si="40"/>
        <v>114133.33333333333</v>
      </c>
      <c r="E175" s="25">
        <f t="shared" si="40"/>
        <v>114133.33333333333</v>
      </c>
      <c r="F175" s="25">
        <f t="shared" si="40"/>
        <v>114133.33333333333</v>
      </c>
      <c r="G175" s="25">
        <f t="shared" si="40"/>
        <v>114133.33333333333</v>
      </c>
      <c r="H175" s="25">
        <f t="shared" si="40"/>
        <v>114133.33333333333</v>
      </c>
      <c r="I175" s="25">
        <f t="shared" si="40"/>
        <v>114133.33333333333</v>
      </c>
      <c r="J175" s="25">
        <f t="shared" si="40"/>
        <v>114133.33333333333</v>
      </c>
      <c r="K175" s="8">
        <f t="shared" si="40"/>
        <v>372133.3333333333</v>
      </c>
    </row>
    <row r="176" ht="13.5" thickTop="1"/>
    <row r="177" spans="1:9" ht="12.75">
      <c r="A177" s="3" t="s">
        <v>61</v>
      </c>
      <c r="B177" s="53">
        <f>NPV($C$15,$D175:$K175)+$C175</f>
        <v>-222048.5467008117</v>
      </c>
      <c r="C177" s="3" t="s">
        <v>62</v>
      </c>
      <c r="F177" s="53"/>
      <c r="G177" s="21" t="s">
        <v>63</v>
      </c>
      <c r="I177" s="53">
        <f>NPV($G$15,$D175:$K175)+$C175</f>
        <v>-226927.02478004398</v>
      </c>
    </row>
    <row r="178" spans="1:9" ht="12.75">
      <c r="A178" s="3" t="s">
        <v>64</v>
      </c>
      <c r="B178" s="54">
        <f>IRR($C175:$K175)</f>
        <v>0.03098060867485953</v>
      </c>
      <c r="C178" s="3" t="s">
        <v>65</v>
      </c>
      <c r="F178" s="54">
        <f>MIRR($C175:$K175,$C$15,$K$15)</f>
        <v>0.04951402449258624</v>
      </c>
      <c r="G178" s="3" t="s">
        <v>66</v>
      </c>
      <c r="I178" s="53">
        <f>$C$5*$G$14*ABS($C175)*$G$11*(1-((1+$G$12)^-8))/$G$12</f>
        <v>33208.91468848213</v>
      </c>
    </row>
    <row r="179" spans="1:9" ht="12.75">
      <c r="A179" s="3" t="s">
        <v>67</v>
      </c>
      <c r="B179" s="53"/>
      <c r="C179" s="3" t="s">
        <v>68</v>
      </c>
      <c r="F179" s="53"/>
      <c r="G179" s="3" t="s">
        <v>69</v>
      </c>
      <c r="I179" s="53">
        <v>0</v>
      </c>
    </row>
    <row r="180" spans="1:9" ht="12.75">
      <c r="A180" t="s">
        <v>70</v>
      </c>
      <c r="B180" s="53"/>
      <c r="C180" s="3" t="s">
        <v>71</v>
      </c>
      <c r="F180" s="53"/>
      <c r="G180" s="3" t="s">
        <v>72</v>
      </c>
      <c r="I180" s="53">
        <f>SUM(I177:I179)</f>
        <v>-193718.11009156186</v>
      </c>
    </row>
    <row r="182" ht="13.5" thickBot="1">
      <c r="A182" s="23" t="s">
        <v>80</v>
      </c>
    </row>
    <row r="183" spans="1:11" ht="14.25" thickBot="1" thickTop="1">
      <c r="A183" s="36" t="s">
        <v>49</v>
      </c>
      <c r="B183" s="37"/>
      <c r="C183" s="26">
        <v>0</v>
      </c>
      <c r="D183" s="26">
        <v>1</v>
      </c>
      <c r="E183" s="26">
        <v>2</v>
      </c>
      <c r="F183" s="26">
        <v>3</v>
      </c>
      <c r="G183" s="26">
        <v>4</v>
      </c>
      <c r="H183" s="26">
        <v>5</v>
      </c>
      <c r="I183" s="26">
        <v>6</v>
      </c>
      <c r="J183" s="26">
        <v>7</v>
      </c>
      <c r="K183" s="11">
        <v>8</v>
      </c>
    </row>
    <row r="184" spans="1:11" ht="12.75">
      <c r="A184" s="38" t="s">
        <v>50</v>
      </c>
      <c r="B184" s="39"/>
      <c r="C184" s="29">
        <v>800000</v>
      </c>
      <c r="D184" s="29"/>
      <c r="E184" s="29"/>
      <c r="F184" s="29"/>
      <c r="G184" s="29"/>
      <c r="H184" s="29"/>
      <c r="I184" s="29"/>
      <c r="J184" s="29"/>
      <c r="K184" s="30"/>
    </row>
    <row r="185" spans="1:11" ht="13.5" thickBot="1">
      <c r="A185" s="40" t="s">
        <v>51</v>
      </c>
      <c r="B185" s="41"/>
      <c r="C185" s="24">
        <v>238000</v>
      </c>
      <c r="D185" s="24"/>
      <c r="E185" s="24"/>
      <c r="F185" s="24"/>
      <c r="G185" s="24"/>
      <c r="H185" s="24"/>
      <c r="I185" s="24"/>
      <c r="J185" s="24"/>
      <c r="K185" s="5"/>
    </row>
    <row r="186" spans="1:11" ht="13.5" thickBot="1">
      <c r="A186" s="42" t="s">
        <v>52</v>
      </c>
      <c r="B186" s="43"/>
      <c r="C186" s="27">
        <f aca="true" t="shared" si="41" ref="C186:K186">SUM(C184:C185)</f>
        <v>1038000</v>
      </c>
      <c r="D186" s="27">
        <f t="shared" si="41"/>
        <v>0</v>
      </c>
      <c r="E186" s="27">
        <f t="shared" si="41"/>
        <v>0</v>
      </c>
      <c r="F186" s="27">
        <f t="shared" si="41"/>
        <v>0</v>
      </c>
      <c r="G186" s="27">
        <f t="shared" si="41"/>
        <v>0</v>
      </c>
      <c r="H186" s="27">
        <f t="shared" si="41"/>
        <v>0</v>
      </c>
      <c r="I186" s="27">
        <f t="shared" si="41"/>
        <v>0</v>
      </c>
      <c r="J186" s="27">
        <f t="shared" si="41"/>
        <v>0</v>
      </c>
      <c r="K186" s="28">
        <f t="shared" si="41"/>
        <v>0</v>
      </c>
    </row>
    <row r="187" spans="1:11" ht="12.75">
      <c r="A187" s="44" t="s">
        <v>53</v>
      </c>
      <c r="B187" s="39"/>
      <c r="C187" s="29">
        <v>7000</v>
      </c>
      <c r="D187" s="29"/>
      <c r="E187" s="29"/>
      <c r="F187" s="29"/>
      <c r="G187" s="29"/>
      <c r="H187" s="29"/>
      <c r="I187" s="29"/>
      <c r="J187" s="29"/>
      <c r="K187" s="30"/>
    </row>
    <row r="188" spans="1:11" ht="12.75">
      <c r="A188" s="35" t="s">
        <v>54</v>
      </c>
      <c r="B188" s="39"/>
      <c r="C188" s="29">
        <v>31000</v>
      </c>
      <c r="D188" s="29"/>
      <c r="E188" s="29"/>
      <c r="F188" s="29"/>
      <c r="G188" s="29"/>
      <c r="H188" s="29"/>
      <c r="I188" s="29"/>
      <c r="J188" s="29"/>
      <c r="K188" s="30"/>
    </row>
    <row r="189" spans="1:11" ht="12.75">
      <c r="A189" s="6" t="s">
        <v>56</v>
      </c>
      <c r="B189" s="41"/>
      <c r="C189" s="24"/>
      <c r="D189" s="24"/>
      <c r="E189" s="24"/>
      <c r="F189" s="24"/>
      <c r="G189" s="24"/>
      <c r="H189" s="24"/>
      <c r="I189" s="24"/>
      <c r="J189" s="24"/>
      <c r="K189" s="5">
        <v>20000</v>
      </c>
    </row>
    <row r="190" spans="1:11" ht="12.75">
      <c r="A190" s="48" t="s">
        <v>57</v>
      </c>
      <c r="B190" s="49"/>
      <c r="C190" s="50"/>
      <c r="D190" s="50"/>
      <c r="E190" s="50"/>
      <c r="F190" s="50"/>
      <c r="G190" s="50"/>
      <c r="H190" s="50"/>
      <c r="I190" s="50"/>
      <c r="J190" s="50"/>
      <c r="K190" s="51">
        <v>238000</v>
      </c>
    </row>
    <row r="191" spans="1:11" ht="13.5" thickBot="1">
      <c r="A191" s="45" t="s">
        <v>58</v>
      </c>
      <c r="B191" s="41"/>
      <c r="C191" s="24"/>
      <c r="D191" s="32">
        <f>$J$32</f>
        <v>114133.33333333333</v>
      </c>
      <c r="E191" s="32">
        <f aca="true" t="shared" si="42" ref="E191:K191">$D191</f>
        <v>114133.33333333333</v>
      </c>
      <c r="F191" s="32">
        <f t="shared" si="42"/>
        <v>114133.33333333333</v>
      </c>
      <c r="G191" s="32">
        <f t="shared" si="42"/>
        <v>114133.33333333333</v>
      </c>
      <c r="H191" s="32">
        <f t="shared" si="42"/>
        <v>114133.33333333333</v>
      </c>
      <c r="I191" s="32">
        <f t="shared" si="42"/>
        <v>114133.33333333333</v>
      </c>
      <c r="J191" s="32">
        <f t="shared" si="42"/>
        <v>114133.33333333333</v>
      </c>
      <c r="K191" s="31">
        <f t="shared" si="42"/>
        <v>114133.33333333333</v>
      </c>
    </row>
    <row r="192" spans="1:11" ht="13.5" thickBot="1">
      <c r="A192" s="42" t="s">
        <v>59</v>
      </c>
      <c r="B192" s="43"/>
      <c r="C192" s="27">
        <f aca="true" t="shared" si="43" ref="C192:K192">SUM(C187:C191)</f>
        <v>38000</v>
      </c>
      <c r="D192" s="27">
        <f t="shared" si="43"/>
        <v>114133.33333333333</v>
      </c>
      <c r="E192" s="27">
        <f t="shared" si="43"/>
        <v>114133.33333333333</v>
      </c>
      <c r="F192" s="27">
        <f t="shared" si="43"/>
        <v>114133.33333333333</v>
      </c>
      <c r="G192" s="27">
        <f t="shared" si="43"/>
        <v>114133.33333333333</v>
      </c>
      <c r="H192" s="27">
        <f t="shared" si="43"/>
        <v>114133.33333333333</v>
      </c>
      <c r="I192" s="27">
        <f t="shared" si="43"/>
        <v>114133.33333333333</v>
      </c>
      <c r="J192" s="27">
        <f t="shared" si="43"/>
        <v>114133.33333333333</v>
      </c>
      <c r="K192" s="28">
        <f t="shared" si="43"/>
        <v>372133.3333333333</v>
      </c>
    </row>
    <row r="193" spans="1:11" ht="13.5" thickBot="1">
      <c r="A193" s="46" t="s">
        <v>60</v>
      </c>
      <c r="B193" s="47"/>
      <c r="C193" s="25">
        <f aca="true" t="shared" si="44" ref="C193:K193">C192-C186</f>
        <v>-1000000</v>
      </c>
      <c r="D193" s="25">
        <f t="shared" si="44"/>
        <v>114133.33333333333</v>
      </c>
      <c r="E193" s="25">
        <f t="shared" si="44"/>
        <v>114133.33333333333</v>
      </c>
      <c r="F193" s="25">
        <f t="shared" si="44"/>
        <v>114133.33333333333</v>
      </c>
      <c r="G193" s="25">
        <f t="shared" si="44"/>
        <v>114133.33333333333</v>
      </c>
      <c r="H193" s="25">
        <f t="shared" si="44"/>
        <v>114133.33333333333</v>
      </c>
      <c r="I193" s="25">
        <f t="shared" si="44"/>
        <v>114133.33333333333</v>
      </c>
      <c r="J193" s="25">
        <f t="shared" si="44"/>
        <v>114133.33333333333</v>
      </c>
      <c r="K193" s="8">
        <f t="shared" si="44"/>
        <v>372133.3333333333</v>
      </c>
    </row>
    <row r="194" ht="13.5" thickTop="1"/>
    <row r="195" spans="1:9" ht="12.75">
      <c r="A195" s="3" t="s">
        <v>61</v>
      </c>
      <c r="B195" s="53">
        <f>NPV($C$15,$D193:$K193)+$C193</f>
        <v>-222048.5467008117</v>
      </c>
      <c r="C195" s="3" t="s">
        <v>62</v>
      </c>
      <c r="F195" s="53"/>
      <c r="G195" s="21" t="s">
        <v>63</v>
      </c>
      <c r="I195" s="53">
        <f>NPV($G$15,$D193:$K193)+$C193</f>
        <v>-226927.02478004398</v>
      </c>
    </row>
    <row r="196" spans="1:9" ht="12.75">
      <c r="A196" s="3" t="s">
        <v>64</v>
      </c>
      <c r="B196" s="54">
        <f>IRR($C193:$K193)</f>
        <v>0.03098060867485953</v>
      </c>
      <c r="C196" s="3" t="s">
        <v>65</v>
      </c>
      <c r="F196" s="54">
        <f>MIRR($C193:$K193,$C$15,$K$15)</f>
        <v>0.04951402449258624</v>
      </c>
      <c r="G196" s="3" t="s">
        <v>66</v>
      </c>
      <c r="I196" s="53">
        <f>$C$5*$G$14*ABS($C193)*$G$11*(1-((1+$G$12)^-8))/$G$12</f>
        <v>33208.91468848213</v>
      </c>
    </row>
    <row r="197" spans="1:9" ht="12.75">
      <c r="A197" s="3" t="s">
        <v>67</v>
      </c>
      <c r="B197" s="53"/>
      <c r="C197" s="3" t="s">
        <v>68</v>
      </c>
      <c r="F197" s="53"/>
      <c r="G197" s="3" t="s">
        <v>69</v>
      </c>
      <c r="I197" s="53">
        <v>0</v>
      </c>
    </row>
    <row r="198" spans="1:9" ht="12.75">
      <c r="A198" t="s">
        <v>70</v>
      </c>
      <c r="B198" s="53"/>
      <c r="C198" s="3" t="s">
        <v>71</v>
      </c>
      <c r="F198" s="53"/>
      <c r="G198" s="3" t="s">
        <v>72</v>
      </c>
      <c r="I198" s="53">
        <f>SUM(I195:I197)</f>
        <v>-193718.11009156186</v>
      </c>
    </row>
    <row r="200" ht="13.5" thickBot="1">
      <c r="A200" s="23" t="s">
        <v>81</v>
      </c>
    </row>
    <row r="201" spans="1:11" ht="14.25" thickBot="1" thickTop="1">
      <c r="A201" s="36" t="s">
        <v>49</v>
      </c>
      <c r="B201" s="37"/>
      <c r="C201" s="26">
        <v>0</v>
      </c>
      <c r="D201" s="26">
        <v>1</v>
      </c>
      <c r="E201" s="26">
        <v>2</v>
      </c>
      <c r="F201" s="26">
        <v>3</v>
      </c>
      <c r="G201" s="26">
        <v>4</v>
      </c>
      <c r="H201" s="26">
        <v>5</v>
      </c>
      <c r="I201" s="26">
        <v>6</v>
      </c>
      <c r="J201" s="26">
        <v>7</v>
      </c>
      <c r="K201" s="11">
        <v>8</v>
      </c>
    </row>
    <row r="202" spans="1:11" ht="12.75">
      <c r="A202" s="38" t="s">
        <v>50</v>
      </c>
      <c r="B202" s="39"/>
      <c r="C202" s="29">
        <v>800000</v>
      </c>
      <c r="D202" s="29"/>
      <c r="E202" s="29"/>
      <c r="F202" s="29"/>
      <c r="G202" s="29"/>
      <c r="H202" s="29"/>
      <c r="I202" s="29"/>
      <c r="J202" s="29"/>
      <c r="K202" s="30"/>
    </row>
    <row r="203" spans="1:11" ht="13.5" thickBot="1">
      <c r="A203" s="40" t="s">
        <v>51</v>
      </c>
      <c r="B203" s="41"/>
      <c r="C203" s="24">
        <v>238000</v>
      </c>
      <c r="D203" s="24"/>
      <c r="E203" s="24"/>
      <c r="F203" s="24"/>
      <c r="G203" s="24"/>
      <c r="H203" s="24"/>
      <c r="I203" s="24"/>
      <c r="J203" s="24"/>
      <c r="K203" s="5"/>
    </row>
    <row r="204" spans="1:11" ht="13.5" thickBot="1">
      <c r="A204" s="42" t="s">
        <v>52</v>
      </c>
      <c r="B204" s="43"/>
      <c r="C204" s="27">
        <f aca="true" t="shared" si="45" ref="C204:K204">SUM(C202:C203)</f>
        <v>1038000</v>
      </c>
      <c r="D204" s="27">
        <f t="shared" si="45"/>
        <v>0</v>
      </c>
      <c r="E204" s="27">
        <f t="shared" si="45"/>
        <v>0</v>
      </c>
      <c r="F204" s="27">
        <f t="shared" si="45"/>
        <v>0</v>
      </c>
      <c r="G204" s="27">
        <f t="shared" si="45"/>
        <v>0</v>
      </c>
      <c r="H204" s="27">
        <f t="shared" si="45"/>
        <v>0</v>
      </c>
      <c r="I204" s="27">
        <f t="shared" si="45"/>
        <v>0</v>
      </c>
      <c r="J204" s="27">
        <f t="shared" si="45"/>
        <v>0</v>
      </c>
      <c r="K204" s="28">
        <f t="shared" si="45"/>
        <v>0</v>
      </c>
    </row>
    <row r="205" spans="1:11" ht="12.75">
      <c r="A205" s="35" t="s">
        <v>53</v>
      </c>
      <c r="B205" s="39"/>
      <c r="C205" s="29">
        <v>7000</v>
      </c>
      <c r="D205" s="29"/>
      <c r="E205" s="29"/>
      <c r="F205" s="29"/>
      <c r="G205" s="29"/>
      <c r="H205" s="29"/>
      <c r="I205" s="29"/>
      <c r="J205" s="29"/>
      <c r="K205" s="30"/>
    </row>
    <row r="206" spans="1:11" ht="12.75">
      <c r="A206" s="35" t="s">
        <v>54</v>
      </c>
      <c r="B206" s="39"/>
      <c r="C206" s="29">
        <v>31000</v>
      </c>
      <c r="D206" s="29"/>
      <c r="E206" s="29"/>
      <c r="F206" s="29"/>
      <c r="G206" s="29"/>
      <c r="H206" s="29"/>
      <c r="I206" s="29"/>
      <c r="J206" s="29"/>
      <c r="K206" s="30"/>
    </row>
    <row r="207" spans="1:11" ht="12.75">
      <c r="A207" s="6" t="s">
        <v>56</v>
      </c>
      <c r="B207" s="41"/>
      <c r="C207" s="24"/>
      <c r="D207" s="24"/>
      <c r="E207" s="24"/>
      <c r="F207" s="24"/>
      <c r="G207" s="24"/>
      <c r="H207" s="24"/>
      <c r="I207" s="24"/>
      <c r="J207" s="24"/>
      <c r="K207" s="5">
        <v>20000</v>
      </c>
    </row>
    <row r="208" spans="1:11" ht="12.75">
      <c r="A208" s="48" t="s">
        <v>57</v>
      </c>
      <c r="B208" s="49"/>
      <c r="C208" s="50"/>
      <c r="D208" s="50"/>
      <c r="E208" s="50"/>
      <c r="F208" s="50"/>
      <c r="G208" s="50"/>
      <c r="H208" s="50"/>
      <c r="I208" s="50"/>
      <c r="J208" s="50"/>
      <c r="K208" s="51">
        <v>238000</v>
      </c>
    </row>
    <row r="209" spans="1:11" ht="13.5" thickBot="1">
      <c r="A209" s="45" t="s">
        <v>58</v>
      </c>
      <c r="B209" s="41"/>
      <c r="C209" s="24"/>
      <c r="D209" s="32">
        <f>$K$32</f>
        <v>199466.6666666667</v>
      </c>
      <c r="E209" s="32">
        <f aca="true" t="shared" si="46" ref="E209:K209">$D209</f>
        <v>199466.6666666667</v>
      </c>
      <c r="F209" s="32">
        <f t="shared" si="46"/>
        <v>199466.6666666667</v>
      </c>
      <c r="G209" s="32">
        <f t="shared" si="46"/>
        <v>199466.6666666667</v>
      </c>
      <c r="H209" s="32">
        <f t="shared" si="46"/>
        <v>199466.6666666667</v>
      </c>
      <c r="I209" s="32">
        <f t="shared" si="46"/>
        <v>199466.6666666667</v>
      </c>
      <c r="J209" s="32">
        <f t="shared" si="46"/>
        <v>199466.6666666667</v>
      </c>
      <c r="K209" s="31">
        <f t="shared" si="46"/>
        <v>199466.6666666667</v>
      </c>
    </row>
    <row r="210" spans="1:11" ht="13.5" thickBot="1">
      <c r="A210" s="42" t="s">
        <v>59</v>
      </c>
      <c r="B210" s="43"/>
      <c r="C210" s="27">
        <f aca="true" t="shared" si="47" ref="C210:K210">SUM(C205:C209)</f>
        <v>38000</v>
      </c>
      <c r="D210" s="27">
        <f t="shared" si="47"/>
        <v>199466.6666666667</v>
      </c>
      <c r="E210" s="27">
        <f t="shared" si="47"/>
        <v>199466.6666666667</v>
      </c>
      <c r="F210" s="27">
        <f t="shared" si="47"/>
        <v>199466.6666666667</v>
      </c>
      <c r="G210" s="27">
        <f t="shared" si="47"/>
        <v>199466.6666666667</v>
      </c>
      <c r="H210" s="27">
        <f t="shared" si="47"/>
        <v>199466.6666666667</v>
      </c>
      <c r="I210" s="27">
        <f t="shared" si="47"/>
        <v>199466.6666666667</v>
      </c>
      <c r="J210" s="27">
        <f t="shared" si="47"/>
        <v>199466.6666666667</v>
      </c>
      <c r="K210" s="28">
        <f t="shared" si="47"/>
        <v>457466.6666666667</v>
      </c>
    </row>
    <row r="211" spans="1:11" ht="13.5" thickBot="1">
      <c r="A211" s="46" t="s">
        <v>60</v>
      </c>
      <c r="B211" s="47"/>
      <c r="C211" s="25">
        <f aca="true" t="shared" si="48" ref="C211:K211">C210-C204</f>
        <v>-1000000</v>
      </c>
      <c r="D211" s="25">
        <f t="shared" si="48"/>
        <v>199466.6666666667</v>
      </c>
      <c r="E211" s="25">
        <f t="shared" si="48"/>
        <v>199466.6666666667</v>
      </c>
      <c r="F211" s="25">
        <f t="shared" si="48"/>
        <v>199466.6666666667</v>
      </c>
      <c r="G211" s="25">
        <f t="shared" si="48"/>
        <v>199466.6666666667</v>
      </c>
      <c r="H211" s="25">
        <f t="shared" si="48"/>
        <v>199466.6666666667</v>
      </c>
      <c r="I211" s="25">
        <f t="shared" si="48"/>
        <v>199466.6666666667</v>
      </c>
      <c r="J211" s="25">
        <f t="shared" si="48"/>
        <v>199466.6666666667</v>
      </c>
      <c r="K211" s="8">
        <f t="shared" si="48"/>
        <v>457466.6666666667</v>
      </c>
    </row>
    <row r="212" ht="13.5" thickTop="1"/>
    <row r="213" spans="1:9" ht="12.75">
      <c r="A213" s="3" t="s">
        <v>61</v>
      </c>
      <c r="B213" s="53">
        <f>NPV($C$15,$D211:$K211)+$C211</f>
        <v>259161.72600957216</v>
      </c>
      <c r="C213" s="3" t="s">
        <v>62</v>
      </c>
      <c r="F213" s="53"/>
      <c r="G213" s="21" t="s">
        <v>63</v>
      </c>
      <c r="I213" s="53">
        <f>NPV($G$15,$D211:$K211)+$C211</f>
        <v>251694.65016029822</v>
      </c>
    </row>
    <row r="214" spans="1:9" ht="12.75">
      <c r="A214" s="3" t="s">
        <v>64</v>
      </c>
      <c r="B214" s="54">
        <f>IRR($C211:$K211)</f>
        <v>0.14426265997604534</v>
      </c>
      <c r="C214" s="3" t="s">
        <v>65</v>
      </c>
      <c r="F214" s="54">
        <f>MIRR($C211:$K211,$C$15,$K$15)</f>
        <v>0.11445925798392387</v>
      </c>
      <c r="G214" s="3" t="s">
        <v>66</v>
      </c>
      <c r="I214" s="53">
        <f>$C$5*$G$14*ABS($C211)*$G$11*(1-((1+$G$12)^-8))/$G$12</f>
        <v>33208.91468848213</v>
      </c>
    </row>
    <row r="215" spans="1:9" ht="12.75">
      <c r="A215" s="3" t="s">
        <v>67</v>
      </c>
      <c r="B215" s="53"/>
      <c r="C215" s="3" t="s">
        <v>68</v>
      </c>
      <c r="F215" s="53"/>
      <c r="G215" s="3" t="s">
        <v>69</v>
      </c>
      <c r="I215" s="53">
        <v>0</v>
      </c>
    </row>
    <row r="216" spans="1:9" ht="12.75">
      <c r="A216" t="s">
        <v>70</v>
      </c>
      <c r="B216" s="53"/>
      <c r="C216" s="3" t="s">
        <v>71</v>
      </c>
      <c r="F216" s="53"/>
      <c r="G216" s="3" t="s">
        <v>72</v>
      </c>
      <c r="I216" s="53">
        <f>SUM(I213:I215)</f>
        <v>284903.56484878034</v>
      </c>
    </row>
    <row r="217" spans="2:9" ht="12.75">
      <c r="B217" s="53"/>
      <c r="C217" s="3"/>
      <c r="F217" s="53"/>
      <c r="G217" s="3"/>
      <c r="I217" s="53"/>
    </row>
    <row r="218" ht="13.5" thickBot="1">
      <c r="A218" s="23" t="s">
        <v>82</v>
      </c>
    </row>
    <row r="219" spans="1:11" ht="14.25" thickBot="1" thickTop="1">
      <c r="A219" s="36" t="s">
        <v>49</v>
      </c>
      <c r="B219" s="37"/>
      <c r="C219" s="26">
        <v>0</v>
      </c>
      <c r="D219" s="26">
        <v>1</v>
      </c>
      <c r="E219" s="26">
        <v>2</v>
      </c>
      <c r="F219" s="26">
        <v>3</v>
      </c>
      <c r="G219" s="26">
        <v>4</v>
      </c>
      <c r="H219" s="26">
        <v>5</v>
      </c>
      <c r="I219" s="26">
        <v>6</v>
      </c>
      <c r="J219" s="26">
        <v>7</v>
      </c>
      <c r="K219" s="11">
        <v>8</v>
      </c>
    </row>
    <row r="220" spans="1:11" ht="12.75">
      <c r="A220" s="38" t="s">
        <v>50</v>
      </c>
      <c r="B220" s="39"/>
      <c r="C220" s="29">
        <v>800000</v>
      </c>
      <c r="D220" s="29"/>
      <c r="E220" s="29"/>
      <c r="F220" s="29"/>
      <c r="G220" s="29"/>
      <c r="H220" s="29"/>
      <c r="I220" s="29"/>
      <c r="J220" s="29"/>
      <c r="K220" s="30"/>
    </row>
    <row r="221" spans="1:11" ht="13.5" thickBot="1">
      <c r="A221" s="40" t="s">
        <v>51</v>
      </c>
      <c r="B221" s="41"/>
      <c r="C221" s="24">
        <v>238000</v>
      </c>
      <c r="D221" s="24"/>
      <c r="E221" s="24"/>
      <c r="F221" s="24"/>
      <c r="G221" s="24"/>
      <c r="H221" s="24"/>
      <c r="I221" s="24"/>
      <c r="J221" s="24"/>
      <c r="K221" s="5"/>
    </row>
    <row r="222" spans="1:11" ht="13.5" thickBot="1">
      <c r="A222" s="42" t="s">
        <v>52</v>
      </c>
      <c r="B222" s="43"/>
      <c r="C222" s="27">
        <f aca="true" t="shared" si="49" ref="C222:K222">SUM(C220:C221)</f>
        <v>1038000</v>
      </c>
      <c r="D222" s="27">
        <f t="shared" si="49"/>
        <v>0</v>
      </c>
      <c r="E222" s="27">
        <f t="shared" si="49"/>
        <v>0</v>
      </c>
      <c r="F222" s="27">
        <f t="shared" si="49"/>
        <v>0</v>
      </c>
      <c r="G222" s="27">
        <f t="shared" si="49"/>
        <v>0</v>
      </c>
      <c r="H222" s="27">
        <f t="shared" si="49"/>
        <v>0</v>
      </c>
      <c r="I222" s="27">
        <f t="shared" si="49"/>
        <v>0</v>
      </c>
      <c r="J222" s="27">
        <f t="shared" si="49"/>
        <v>0</v>
      </c>
      <c r="K222" s="28">
        <f t="shared" si="49"/>
        <v>0</v>
      </c>
    </row>
    <row r="223" spans="1:11" ht="12.75">
      <c r="A223" s="44" t="s">
        <v>53</v>
      </c>
      <c r="B223" s="39"/>
      <c r="C223" s="29">
        <v>7000</v>
      </c>
      <c r="D223" s="29"/>
      <c r="E223" s="29"/>
      <c r="F223" s="29"/>
      <c r="G223" s="29"/>
      <c r="H223" s="29"/>
      <c r="I223" s="29"/>
      <c r="J223" s="29"/>
      <c r="K223" s="30"/>
    </row>
    <row r="224" spans="1:11" ht="12.75">
      <c r="A224" s="35" t="s">
        <v>54</v>
      </c>
      <c r="B224" s="39"/>
      <c r="C224" s="29">
        <v>31000</v>
      </c>
      <c r="D224" s="29"/>
      <c r="E224" s="29"/>
      <c r="F224" s="29"/>
      <c r="G224" s="29"/>
      <c r="H224" s="29"/>
      <c r="I224" s="29"/>
      <c r="J224" s="29"/>
      <c r="K224" s="30"/>
    </row>
    <row r="225" spans="1:11" ht="12.75">
      <c r="A225" s="6" t="s">
        <v>56</v>
      </c>
      <c r="B225" s="41"/>
      <c r="C225" s="24"/>
      <c r="D225" s="24"/>
      <c r="E225" s="24"/>
      <c r="F225" s="24"/>
      <c r="G225" s="24"/>
      <c r="H225" s="24"/>
      <c r="I225" s="24"/>
      <c r="J225" s="24"/>
      <c r="K225" s="5">
        <v>20000</v>
      </c>
    </row>
    <row r="226" spans="1:11" ht="12.75">
      <c r="A226" s="48" t="s">
        <v>57</v>
      </c>
      <c r="B226" s="49"/>
      <c r="C226" s="50"/>
      <c r="D226" s="50"/>
      <c r="E226" s="50"/>
      <c r="F226" s="50"/>
      <c r="G226" s="50"/>
      <c r="H226" s="50"/>
      <c r="I226" s="50"/>
      <c r="J226" s="50"/>
      <c r="K226" s="51">
        <v>238000</v>
      </c>
    </row>
    <row r="227" spans="1:11" ht="13.5" thickBot="1">
      <c r="A227" s="45" t="s">
        <v>58</v>
      </c>
      <c r="B227" s="41"/>
      <c r="C227" s="24"/>
      <c r="D227" s="32">
        <f>$L$32</f>
        <v>156800</v>
      </c>
      <c r="E227" s="32">
        <f aca="true" t="shared" si="50" ref="E227:K227">$D227</f>
        <v>156800</v>
      </c>
      <c r="F227" s="32">
        <f t="shared" si="50"/>
        <v>156800</v>
      </c>
      <c r="G227" s="32">
        <f t="shared" si="50"/>
        <v>156800</v>
      </c>
      <c r="H227" s="32">
        <f t="shared" si="50"/>
        <v>156800</v>
      </c>
      <c r="I227" s="32">
        <f t="shared" si="50"/>
        <v>156800</v>
      </c>
      <c r="J227" s="32">
        <f t="shared" si="50"/>
        <v>156800</v>
      </c>
      <c r="K227" s="31">
        <f t="shared" si="50"/>
        <v>156800</v>
      </c>
    </row>
    <row r="228" spans="1:11" ht="13.5" thickBot="1">
      <c r="A228" s="42" t="s">
        <v>59</v>
      </c>
      <c r="B228" s="43"/>
      <c r="C228" s="27">
        <f aca="true" t="shared" si="51" ref="C228:K228">SUM(C223:C227)</f>
        <v>38000</v>
      </c>
      <c r="D228" s="27">
        <f t="shared" si="51"/>
        <v>156800</v>
      </c>
      <c r="E228" s="27">
        <f t="shared" si="51"/>
        <v>156800</v>
      </c>
      <c r="F228" s="27">
        <f t="shared" si="51"/>
        <v>156800</v>
      </c>
      <c r="G228" s="27">
        <f t="shared" si="51"/>
        <v>156800</v>
      </c>
      <c r="H228" s="27">
        <f t="shared" si="51"/>
        <v>156800</v>
      </c>
      <c r="I228" s="27">
        <f t="shared" si="51"/>
        <v>156800</v>
      </c>
      <c r="J228" s="27">
        <f t="shared" si="51"/>
        <v>156800</v>
      </c>
      <c r="K228" s="28">
        <f t="shared" si="51"/>
        <v>414800</v>
      </c>
    </row>
    <row r="229" spans="1:11" ht="13.5" thickBot="1">
      <c r="A229" s="46" t="s">
        <v>60</v>
      </c>
      <c r="B229" s="47"/>
      <c r="C229" s="25">
        <f aca="true" t="shared" si="52" ref="C229:K229">C228-C222</f>
        <v>-1000000</v>
      </c>
      <c r="D229" s="25">
        <f t="shared" si="52"/>
        <v>156800</v>
      </c>
      <c r="E229" s="25">
        <f t="shared" si="52"/>
        <v>156800</v>
      </c>
      <c r="F229" s="25">
        <f t="shared" si="52"/>
        <v>156800</v>
      </c>
      <c r="G229" s="25">
        <f t="shared" si="52"/>
        <v>156800</v>
      </c>
      <c r="H229" s="25">
        <f t="shared" si="52"/>
        <v>156800</v>
      </c>
      <c r="I229" s="25">
        <f t="shared" si="52"/>
        <v>156800</v>
      </c>
      <c r="J229" s="25">
        <f t="shared" si="52"/>
        <v>156800</v>
      </c>
      <c r="K229" s="8">
        <f t="shared" si="52"/>
        <v>414800</v>
      </c>
    </row>
    <row r="230" ht="13.5" thickTop="1"/>
    <row r="231" spans="1:9" ht="12.75">
      <c r="A231" s="3" t="s">
        <v>61</v>
      </c>
      <c r="B231" s="53">
        <f>NPV($C$15,$D229:$K229)+$C229</f>
        <v>18556.589654380223</v>
      </c>
      <c r="C231" s="3" t="s">
        <v>62</v>
      </c>
      <c r="F231" s="53"/>
      <c r="G231" s="21" t="s">
        <v>63</v>
      </c>
      <c r="I231" s="53">
        <f>NPV($G$15,$D229:$K229)+$C229</f>
        <v>12383.812690127059</v>
      </c>
    </row>
    <row r="232" spans="1:9" ht="12.75">
      <c r="A232" s="3" t="s">
        <v>64</v>
      </c>
      <c r="B232" s="54">
        <f>IRR($C229:$K229)</f>
        <v>0.08936456418405847</v>
      </c>
      <c r="C232" s="3" t="s">
        <v>65</v>
      </c>
      <c r="F232" s="54">
        <f>MIRR($C229:$K229,$C$15,$K$15)</f>
        <v>0.08536809755438957</v>
      </c>
      <c r="G232" s="3" t="s">
        <v>66</v>
      </c>
      <c r="I232" s="53">
        <f>$C$5*$G$14*ABS($C229)*$G$11*(1-((1+$G$12)^-8))/$G$12</f>
        <v>33208.91468848213</v>
      </c>
    </row>
    <row r="233" spans="1:9" ht="12.75">
      <c r="A233" s="3" t="s">
        <v>67</v>
      </c>
      <c r="B233" s="53"/>
      <c r="C233" s="3" t="s">
        <v>68</v>
      </c>
      <c r="F233" s="53"/>
      <c r="G233" s="3" t="s">
        <v>69</v>
      </c>
      <c r="I233" s="53">
        <v>0</v>
      </c>
    </row>
    <row r="234" spans="1:9" ht="12.75">
      <c r="A234" t="s">
        <v>70</v>
      </c>
      <c r="B234" s="53"/>
      <c r="C234" s="3" t="s">
        <v>71</v>
      </c>
      <c r="F234" s="53"/>
      <c r="G234" s="3" t="s">
        <v>72</v>
      </c>
      <c r="I234" s="53">
        <f>SUM(I231:I233)</f>
        <v>45592.72737860919</v>
      </c>
    </row>
    <row r="236" ht="13.5" thickBot="1">
      <c r="A236" s="23" t="s">
        <v>83</v>
      </c>
    </row>
    <row r="237" spans="1:11" ht="14.25" thickBot="1" thickTop="1">
      <c r="A237" s="36" t="s">
        <v>49</v>
      </c>
      <c r="B237" s="37"/>
      <c r="C237" s="26">
        <v>0</v>
      </c>
      <c r="D237" s="26">
        <v>1</v>
      </c>
      <c r="E237" s="26">
        <v>2</v>
      </c>
      <c r="F237" s="26">
        <v>3</v>
      </c>
      <c r="G237" s="26">
        <v>4</v>
      </c>
      <c r="H237" s="26">
        <v>5</v>
      </c>
      <c r="I237" s="26">
        <v>6</v>
      </c>
      <c r="J237" s="26">
        <v>7</v>
      </c>
      <c r="K237" s="11">
        <v>8</v>
      </c>
    </row>
    <row r="238" spans="1:11" ht="12.75">
      <c r="A238" s="38" t="s">
        <v>50</v>
      </c>
      <c r="B238" s="39"/>
      <c r="C238" s="29">
        <v>800000</v>
      </c>
      <c r="D238" s="29"/>
      <c r="E238" s="29"/>
      <c r="F238" s="29"/>
      <c r="G238" s="29"/>
      <c r="H238" s="29"/>
      <c r="I238" s="29"/>
      <c r="J238" s="29"/>
      <c r="K238" s="30"/>
    </row>
    <row r="239" spans="1:11" ht="13.5" thickBot="1">
      <c r="A239" s="40" t="s">
        <v>51</v>
      </c>
      <c r="B239" s="41"/>
      <c r="C239" s="24">
        <v>238000</v>
      </c>
      <c r="D239" s="24"/>
      <c r="E239" s="24"/>
      <c r="F239" s="24"/>
      <c r="G239" s="24"/>
      <c r="H239" s="24"/>
      <c r="I239" s="24"/>
      <c r="J239" s="24"/>
      <c r="K239" s="5"/>
    </row>
    <row r="240" spans="1:11" ht="13.5" thickBot="1">
      <c r="A240" s="42" t="s">
        <v>52</v>
      </c>
      <c r="B240" s="43"/>
      <c r="C240" s="27">
        <f aca="true" t="shared" si="53" ref="C240:K240">SUM(C238:C239)</f>
        <v>1038000</v>
      </c>
      <c r="D240" s="27">
        <f t="shared" si="53"/>
        <v>0</v>
      </c>
      <c r="E240" s="27">
        <f t="shared" si="53"/>
        <v>0</v>
      </c>
      <c r="F240" s="27">
        <f t="shared" si="53"/>
        <v>0</v>
      </c>
      <c r="G240" s="27">
        <f t="shared" si="53"/>
        <v>0</v>
      </c>
      <c r="H240" s="27">
        <f t="shared" si="53"/>
        <v>0</v>
      </c>
      <c r="I240" s="27">
        <f t="shared" si="53"/>
        <v>0</v>
      </c>
      <c r="J240" s="27">
        <f t="shared" si="53"/>
        <v>0</v>
      </c>
      <c r="K240" s="28">
        <f t="shared" si="53"/>
        <v>0</v>
      </c>
    </row>
    <row r="241" spans="1:11" ht="12.75">
      <c r="A241" s="35" t="s">
        <v>53</v>
      </c>
      <c r="B241" s="39"/>
      <c r="C241" s="29">
        <v>7000</v>
      </c>
      <c r="D241" s="29"/>
      <c r="E241" s="29"/>
      <c r="F241" s="29"/>
      <c r="G241" s="29"/>
      <c r="H241" s="29"/>
      <c r="I241" s="29"/>
      <c r="J241" s="29"/>
      <c r="K241" s="30"/>
    </row>
    <row r="242" spans="1:11" ht="12.75">
      <c r="A242" s="35" t="s">
        <v>54</v>
      </c>
      <c r="B242" s="39"/>
      <c r="C242" s="29">
        <v>31000</v>
      </c>
      <c r="D242" s="29"/>
      <c r="E242" s="29"/>
      <c r="F242" s="29"/>
      <c r="G242" s="29"/>
      <c r="H242" s="29"/>
      <c r="I242" s="29"/>
      <c r="J242" s="29"/>
      <c r="K242" s="30"/>
    </row>
    <row r="243" spans="1:11" ht="12.75">
      <c r="A243" s="6" t="s">
        <v>56</v>
      </c>
      <c r="B243" s="41"/>
      <c r="C243" s="24"/>
      <c r="D243" s="24"/>
      <c r="E243" s="24"/>
      <c r="F243" s="24"/>
      <c r="G243" s="24"/>
      <c r="H243" s="24"/>
      <c r="I243" s="24"/>
      <c r="J243" s="24"/>
      <c r="K243" s="5">
        <v>20000</v>
      </c>
    </row>
    <row r="244" spans="1:11" ht="12.75">
      <c r="A244" s="48" t="s">
        <v>57</v>
      </c>
      <c r="B244" s="49"/>
      <c r="C244" s="50"/>
      <c r="D244" s="50"/>
      <c r="E244" s="50"/>
      <c r="F244" s="50"/>
      <c r="G244" s="50"/>
      <c r="H244" s="50"/>
      <c r="I244" s="50"/>
      <c r="J244" s="50"/>
      <c r="K244" s="51">
        <v>238000</v>
      </c>
    </row>
    <row r="245" spans="1:11" ht="13.5" thickBot="1">
      <c r="A245" s="45" t="s">
        <v>58</v>
      </c>
      <c r="B245" s="41"/>
      <c r="C245" s="24"/>
      <c r="D245" s="32">
        <f>$M$32</f>
        <v>284800</v>
      </c>
      <c r="E245" s="32">
        <f aca="true" t="shared" si="54" ref="E245:K245">$D245</f>
        <v>284800</v>
      </c>
      <c r="F245" s="32">
        <f t="shared" si="54"/>
        <v>284800</v>
      </c>
      <c r="G245" s="32">
        <f t="shared" si="54"/>
        <v>284800</v>
      </c>
      <c r="H245" s="32">
        <f t="shared" si="54"/>
        <v>284800</v>
      </c>
      <c r="I245" s="32">
        <f t="shared" si="54"/>
        <v>284800</v>
      </c>
      <c r="J245" s="32">
        <f t="shared" si="54"/>
        <v>284800</v>
      </c>
      <c r="K245" s="31">
        <f t="shared" si="54"/>
        <v>284800</v>
      </c>
    </row>
    <row r="246" spans="1:11" ht="13.5" thickBot="1">
      <c r="A246" s="42" t="s">
        <v>59</v>
      </c>
      <c r="B246" s="43"/>
      <c r="C246" s="27">
        <f aca="true" t="shared" si="55" ref="C246:K246">SUM(C241:C245)</f>
        <v>38000</v>
      </c>
      <c r="D246" s="27">
        <f t="shared" si="55"/>
        <v>284800</v>
      </c>
      <c r="E246" s="27">
        <f t="shared" si="55"/>
        <v>284800</v>
      </c>
      <c r="F246" s="27">
        <f t="shared" si="55"/>
        <v>284800</v>
      </c>
      <c r="G246" s="27">
        <f t="shared" si="55"/>
        <v>284800</v>
      </c>
      <c r="H246" s="27">
        <f t="shared" si="55"/>
        <v>284800</v>
      </c>
      <c r="I246" s="27">
        <f t="shared" si="55"/>
        <v>284800</v>
      </c>
      <c r="J246" s="27">
        <f t="shared" si="55"/>
        <v>284800</v>
      </c>
      <c r="K246" s="28">
        <f t="shared" si="55"/>
        <v>542800</v>
      </c>
    </row>
    <row r="247" spans="1:11" ht="13.5" thickBot="1">
      <c r="A247" s="46" t="s">
        <v>60</v>
      </c>
      <c r="B247" s="47"/>
      <c r="C247" s="25">
        <f aca="true" t="shared" si="56" ref="C247:K247">C246-C240</f>
        <v>-1000000</v>
      </c>
      <c r="D247" s="25">
        <f t="shared" si="56"/>
        <v>284800</v>
      </c>
      <c r="E247" s="25">
        <f t="shared" si="56"/>
        <v>284800</v>
      </c>
      <c r="F247" s="25">
        <f t="shared" si="56"/>
        <v>284800</v>
      </c>
      <c r="G247" s="25">
        <f t="shared" si="56"/>
        <v>284800</v>
      </c>
      <c r="H247" s="25">
        <f t="shared" si="56"/>
        <v>284800</v>
      </c>
      <c r="I247" s="25">
        <f t="shared" si="56"/>
        <v>284800</v>
      </c>
      <c r="J247" s="25">
        <f t="shared" si="56"/>
        <v>284800</v>
      </c>
      <c r="K247" s="8">
        <f t="shared" si="56"/>
        <v>542800</v>
      </c>
    </row>
    <row r="248" ht="13.5" thickTop="1"/>
    <row r="249" spans="1:9" ht="12.75">
      <c r="A249" s="3" t="s">
        <v>61</v>
      </c>
      <c r="B249" s="53">
        <f>NPV($C$15,$D247:$K247)+$C247</f>
        <v>740371.9987199556</v>
      </c>
      <c r="C249" s="3" t="s">
        <v>62</v>
      </c>
      <c r="F249" s="53"/>
      <c r="G249" s="21" t="s">
        <v>63</v>
      </c>
      <c r="I249" s="53">
        <f>NPV($G$15,$D247:$K247)+$C247</f>
        <v>730316.3251006401</v>
      </c>
    </row>
    <row r="250" spans="1:9" ht="12.75">
      <c r="A250" s="3" t="s">
        <v>64</v>
      </c>
      <c r="B250" s="54">
        <f>IRR($C247:$K247)</f>
        <v>0.24698605813358063</v>
      </c>
      <c r="C250" s="3" t="s">
        <v>65</v>
      </c>
      <c r="F250" s="54">
        <f>MIRR($C247:$K247,$C$15,$K$15)</f>
        <v>0.16039302110286924</v>
      </c>
      <c r="G250" s="3" t="s">
        <v>66</v>
      </c>
      <c r="I250" s="53">
        <f>$C$5*$G$14*ABS($C247)*$G$11*(1-((1+$G$12)^-8))/$G$12</f>
        <v>33208.91468848213</v>
      </c>
    </row>
    <row r="251" spans="1:9" ht="12.75">
      <c r="A251" s="3" t="s">
        <v>67</v>
      </c>
      <c r="B251" s="53"/>
      <c r="C251" s="3" t="s">
        <v>68</v>
      </c>
      <c r="F251" s="53"/>
      <c r="G251" s="3" t="s">
        <v>69</v>
      </c>
      <c r="I251" s="53">
        <v>0</v>
      </c>
    </row>
    <row r="252" spans="1:9" ht="12.75">
      <c r="A252" t="s">
        <v>70</v>
      </c>
      <c r="B252" s="53"/>
      <c r="C252" s="3" t="s">
        <v>71</v>
      </c>
      <c r="F252" s="53"/>
      <c r="G252" s="3" t="s">
        <v>72</v>
      </c>
      <c r="I252" s="53">
        <f>SUM(I249:I251)</f>
        <v>763525.2397891222</v>
      </c>
    </row>
    <row r="253" spans="2:9" ht="12.75">
      <c r="B253" s="53"/>
      <c r="C253" s="3"/>
      <c r="F253" s="53"/>
      <c r="G253" s="3"/>
      <c r="I253" s="53"/>
    </row>
    <row r="254" spans="2:9" ht="12.75">
      <c r="B254" s="53"/>
      <c r="C254" s="3"/>
      <c r="F254" s="53"/>
      <c r="G254" s="3"/>
      <c r="I254" s="53"/>
    </row>
    <row r="255" ht="12.75">
      <c r="A255" s="57" t="s">
        <v>84</v>
      </c>
    </row>
    <row r="256" ht="13.5" thickBot="1">
      <c r="A256" s="57"/>
    </row>
    <row r="257" spans="1:13" ht="14.25" thickBot="1" thickTop="1">
      <c r="A257" s="91" t="s">
        <v>22</v>
      </c>
      <c r="B257" s="58" t="s">
        <v>23</v>
      </c>
      <c r="C257" s="58" t="s">
        <v>24</v>
      </c>
      <c r="D257" s="58" t="s">
        <v>25</v>
      </c>
      <c r="E257" s="58" t="s">
        <v>26</v>
      </c>
      <c r="F257" s="58" t="s">
        <v>27</v>
      </c>
      <c r="G257" s="58" t="s">
        <v>28</v>
      </c>
      <c r="H257" s="58" t="s">
        <v>29</v>
      </c>
      <c r="I257" s="58" t="s">
        <v>30</v>
      </c>
      <c r="J257" s="58" t="s">
        <v>31</v>
      </c>
      <c r="K257" s="58" t="s">
        <v>32</v>
      </c>
      <c r="L257" s="58" t="s">
        <v>33</v>
      </c>
      <c r="M257" s="12" t="s">
        <v>34</v>
      </c>
    </row>
    <row r="258" spans="1:13" ht="13.5" thickBot="1">
      <c r="A258" s="92" t="s">
        <v>85</v>
      </c>
      <c r="B258" s="74">
        <v>0.025</v>
      </c>
      <c r="C258" s="74">
        <v>0.0375</v>
      </c>
      <c r="D258" s="74">
        <v>0.045</v>
      </c>
      <c r="E258" s="74">
        <v>0.0675</v>
      </c>
      <c r="F258" s="74">
        <v>0.03</v>
      </c>
      <c r="G258" s="74">
        <v>0.045</v>
      </c>
      <c r="H258" s="74">
        <v>0.075</v>
      </c>
      <c r="I258" s="74">
        <v>0.1125</v>
      </c>
      <c r="J258" s="74">
        <v>0.135</v>
      </c>
      <c r="K258" s="74">
        <v>0.2025</v>
      </c>
      <c r="L258" s="74">
        <v>0.09</v>
      </c>
      <c r="M258" s="75">
        <v>0.135</v>
      </c>
    </row>
    <row r="259" spans="1:14" s="60" customFormat="1" ht="12.75">
      <c r="A259" s="61" t="s">
        <v>86</v>
      </c>
      <c r="B259" s="72">
        <f>$B50</f>
        <v>-522804.9671448015</v>
      </c>
      <c r="C259" s="72">
        <f>$B68</f>
        <v>-342351.11487840756</v>
      </c>
      <c r="D259" s="72">
        <f>$B86</f>
        <v>-342351.11487840756</v>
      </c>
      <c r="E259" s="72">
        <f>$B104</f>
        <v>18556.589654380223</v>
      </c>
      <c r="F259" s="72">
        <f>$B122</f>
        <v>-161897.26261201373</v>
      </c>
      <c r="G259" s="72">
        <f>$B140</f>
        <v>379464.2941871679</v>
      </c>
      <c r="H259" s="72">
        <f>$B159</f>
        <v>-462653.68305600365</v>
      </c>
      <c r="I259" s="72">
        <f>$B177</f>
        <v>-222048.5467008117</v>
      </c>
      <c r="J259" s="72">
        <f>$B195</f>
        <v>-222048.5467008117</v>
      </c>
      <c r="K259" s="72">
        <f>$B213</f>
        <v>259161.72600957216</v>
      </c>
      <c r="L259" s="72">
        <f>$B231</f>
        <v>18556.589654380223</v>
      </c>
      <c r="M259" s="73">
        <f>$B249</f>
        <v>740371.9987199556</v>
      </c>
      <c r="N259" s="59"/>
    </row>
    <row r="260" spans="1:14" s="60" customFormat="1" ht="12.75">
      <c r="A260" s="61" t="s">
        <v>87</v>
      </c>
      <c r="B260" s="72">
        <f aca="true" t="shared" si="57" ref="B260:M260">B$258*B$259</f>
        <v>-13070.124178620039</v>
      </c>
      <c r="C260" s="72">
        <f t="shared" si="57"/>
        <v>-12838.166807940283</v>
      </c>
      <c r="D260" s="72">
        <f t="shared" si="57"/>
        <v>-15405.80016952834</v>
      </c>
      <c r="E260" s="72">
        <f t="shared" si="57"/>
        <v>1252.5698016706651</v>
      </c>
      <c r="F260" s="72">
        <f t="shared" si="57"/>
        <v>-4856.917878360412</v>
      </c>
      <c r="G260" s="72">
        <f t="shared" si="57"/>
        <v>17075.893238422555</v>
      </c>
      <c r="H260" s="72">
        <f t="shared" si="57"/>
        <v>-34699.02622920027</v>
      </c>
      <c r="I260" s="72">
        <f t="shared" si="57"/>
        <v>-24980.461503841318</v>
      </c>
      <c r="J260" s="72">
        <f t="shared" si="57"/>
        <v>-29976.553804609583</v>
      </c>
      <c r="K260" s="72">
        <f t="shared" si="57"/>
        <v>52480.24951693836</v>
      </c>
      <c r="L260" s="72">
        <f t="shared" si="57"/>
        <v>1670.09306889422</v>
      </c>
      <c r="M260" s="73">
        <f t="shared" si="57"/>
        <v>99950.21982719401</v>
      </c>
      <c r="N260" s="59"/>
    </row>
    <row r="261" spans="1:14" s="60" customFormat="1" ht="12.75">
      <c r="A261" s="65" t="s">
        <v>88</v>
      </c>
      <c r="B261" s="77">
        <f aca="true" t="shared" si="58" ref="B261:M261">B$258*((B$259-$B$276)^2)</f>
        <v>7823403169.667009</v>
      </c>
      <c r="C261" s="77">
        <f t="shared" si="58"/>
        <v>5385204158.933116</v>
      </c>
      <c r="D261" s="77">
        <f t="shared" si="58"/>
        <v>6462244990.719739</v>
      </c>
      <c r="E261" s="77">
        <f t="shared" si="58"/>
        <v>21980425.13850243</v>
      </c>
      <c r="F261" s="77">
        <f t="shared" si="58"/>
        <v>1182058418.559469</v>
      </c>
      <c r="G261" s="77">
        <f t="shared" si="58"/>
        <v>5289955649.999604</v>
      </c>
      <c r="H261" s="77">
        <f t="shared" si="58"/>
        <v>18694215898.659744</v>
      </c>
      <c r="I261" s="77">
        <f t="shared" si="58"/>
        <v>7526260385.387254</v>
      </c>
      <c r="J261" s="77">
        <f t="shared" si="58"/>
        <v>9031512462.464705</v>
      </c>
      <c r="K261" s="77">
        <f t="shared" si="58"/>
        <v>10030400671.536663</v>
      </c>
      <c r="L261" s="77">
        <f t="shared" si="58"/>
        <v>29307233.51800324</v>
      </c>
      <c r="M261" s="78">
        <f t="shared" si="58"/>
        <v>66864453271.32464</v>
      </c>
      <c r="N261" s="59"/>
    </row>
    <row r="262" spans="1:14" s="60" customFormat="1" ht="12.75">
      <c r="A262" s="65" t="s">
        <v>89</v>
      </c>
      <c r="B262" s="77">
        <f aca="true" t="shared" si="59" ref="B262:M262">IF(B$259&lt;$B$276,B$258*((B$259-$B$276)^2),0)</f>
        <v>7823403169.667009</v>
      </c>
      <c r="C262" s="77">
        <f t="shared" si="59"/>
        <v>5385204158.933116</v>
      </c>
      <c r="D262" s="77">
        <f t="shared" si="59"/>
        <v>6462244990.719739</v>
      </c>
      <c r="E262" s="77">
        <f t="shared" si="59"/>
        <v>21980425.13850243</v>
      </c>
      <c r="F262" s="77">
        <f t="shared" si="59"/>
        <v>1182058418.559469</v>
      </c>
      <c r="G262" s="77">
        <f t="shared" si="59"/>
        <v>0</v>
      </c>
      <c r="H262" s="77">
        <f t="shared" si="59"/>
        <v>18694215898.659744</v>
      </c>
      <c r="I262" s="77">
        <f t="shared" si="59"/>
        <v>7526260385.387254</v>
      </c>
      <c r="J262" s="77">
        <f t="shared" si="59"/>
        <v>9031512462.464705</v>
      </c>
      <c r="K262" s="77">
        <f t="shared" si="59"/>
        <v>0</v>
      </c>
      <c r="L262" s="77">
        <f t="shared" si="59"/>
        <v>29307233.51800324</v>
      </c>
      <c r="M262" s="78">
        <f t="shared" si="59"/>
        <v>0</v>
      </c>
      <c r="N262" s="59"/>
    </row>
    <row r="263" spans="1:13" ht="13.5" thickBot="1">
      <c r="A263" s="93" t="s">
        <v>90</v>
      </c>
      <c r="B263" s="79">
        <f aca="true" t="shared" si="60" ref="B263:M263">IF(B$259&gt;$B$276,B$258*((B$259-$B$276)^2),0)</f>
        <v>0</v>
      </c>
      <c r="C263" s="79">
        <f t="shared" si="60"/>
        <v>0</v>
      </c>
      <c r="D263" s="79">
        <f t="shared" si="60"/>
        <v>0</v>
      </c>
      <c r="E263" s="79">
        <f t="shared" si="60"/>
        <v>0</v>
      </c>
      <c r="F263" s="79">
        <f t="shared" si="60"/>
        <v>0</v>
      </c>
      <c r="G263" s="79">
        <f t="shared" si="60"/>
        <v>5289955649.999604</v>
      </c>
      <c r="H263" s="79">
        <f t="shared" si="60"/>
        <v>0</v>
      </c>
      <c r="I263" s="79">
        <f t="shared" si="60"/>
        <v>0</v>
      </c>
      <c r="J263" s="79">
        <f t="shared" si="60"/>
        <v>0</v>
      </c>
      <c r="K263" s="79">
        <f t="shared" si="60"/>
        <v>10030400671.536663</v>
      </c>
      <c r="L263" s="79">
        <f t="shared" si="60"/>
        <v>0</v>
      </c>
      <c r="M263" s="88">
        <f t="shared" si="60"/>
        <v>66864453271.32464</v>
      </c>
    </row>
    <row r="264" spans="1:14" s="60" customFormat="1" ht="12.75">
      <c r="A264" s="61" t="s">
        <v>91</v>
      </c>
      <c r="B264" s="70">
        <f>$B51</f>
        <v>-0.04908323914215129</v>
      </c>
      <c r="C264" s="70">
        <f>$B69</f>
        <v>7.402899357339236E-05</v>
      </c>
      <c r="D264" s="70">
        <f>$B87</f>
        <v>7.402899357339236E-05</v>
      </c>
      <c r="E264" s="70">
        <f>$B105</f>
        <v>0.08936456418405847</v>
      </c>
      <c r="F264" s="70">
        <f>$B123</f>
        <v>0.04596880451480128</v>
      </c>
      <c r="G264" s="70">
        <f>$B141</f>
        <v>0.1707039773131359</v>
      </c>
      <c r="H264" s="70">
        <f>$B160</f>
        <v>-0.03227593568238928</v>
      </c>
      <c r="I264" s="70">
        <f>$B178</f>
        <v>0.03098060867485953</v>
      </c>
      <c r="J264" s="70">
        <f>$B196</f>
        <v>0.03098060867485953</v>
      </c>
      <c r="K264" s="70">
        <f>$B214</f>
        <v>0.14426265997604534</v>
      </c>
      <c r="L264" s="70">
        <f>$B232</f>
        <v>0.08936456418405847</v>
      </c>
      <c r="M264" s="71">
        <f>$B250</f>
        <v>0.24698605813358063</v>
      </c>
      <c r="N264" s="59"/>
    </row>
    <row r="265" spans="1:14" ht="12.75">
      <c r="A265" s="61" t="s">
        <v>92</v>
      </c>
      <c r="B265" s="66">
        <f aca="true" t="shared" si="61" ref="B265:M265">B$258*B$264</f>
        <v>-0.0012270809785537825</v>
      </c>
      <c r="C265" s="66">
        <f t="shared" si="61"/>
        <v>2.7760872590022133E-06</v>
      </c>
      <c r="D265" s="66">
        <f t="shared" si="61"/>
        <v>3.331304710802656E-06</v>
      </c>
      <c r="E265" s="66">
        <f t="shared" si="61"/>
        <v>0.0060321080824239474</v>
      </c>
      <c r="F265" s="66">
        <f t="shared" si="61"/>
        <v>0.0013790641354440383</v>
      </c>
      <c r="G265" s="66">
        <f t="shared" si="61"/>
        <v>0.007681678979091115</v>
      </c>
      <c r="H265" s="66">
        <f t="shared" si="61"/>
        <v>-0.0024206951761791963</v>
      </c>
      <c r="I265" s="66">
        <f t="shared" si="61"/>
        <v>0.0034853184759216973</v>
      </c>
      <c r="J265" s="66">
        <f t="shared" si="61"/>
        <v>0.004182382171106037</v>
      </c>
      <c r="K265" s="66">
        <f t="shared" si="61"/>
        <v>0.029213188645149185</v>
      </c>
      <c r="L265" s="66">
        <f t="shared" si="61"/>
        <v>0.008042810776565263</v>
      </c>
      <c r="M265" s="71">
        <f t="shared" si="61"/>
        <v>0.033343117848033385</v>
      </c>
      <c r="N265"/>
    </row>
    <row r="266" spans="1:13" s="60" customFormat="1" ht="12.75">
      <c r="A266" s="65" t="s">
        <v>93</v>
      </c>
      <c r="B266" s="70">
        <f aca="true" t="shared" si="62" ref="B266:M266">B$258*((B$264-$B$277)^2)</f>
        <v>0.0004816446021206808</v>
      </c>
      <c r="C266" s="70">
        <f t="shared" si="62"/>
        <v>0.00030135156002722544</v>
      </c>
      <c r="D266" s="70">
        <f t="shared" si="62"/>
        <v>0.0003616218720326705</v>
      </c>
      <c r="E266" s="70">
        <f t="shared" si="62"/>
        <v>8.431905875546527E-09</v>
      </c>
      <c r="F266" s="70">
        <f t="shared" si="62"/>
        <v>5.7419764089347194E-05</v>
      </c>
      <c r="G266" s="70">
        <f t="shared" si="62"/>
        <v>0.00029514278090323013</v>
      </c>
      <c r="H266" s="70">
        <f t="shared" si="62"/>
        <v>0.0011161890321683791</v>
      </c>
      <c r="I266" s="70">
        <f t="shared" si="62"/>
        <v>0.00038813413285271103</v>
      </c>
      <c r="J266" s="70">
        <f t="shared" si="62"/>
        <v>0.0004657609594232533</v>
      </c>
      <c r="K266" s="70">
        <f t="shared" si="62"/>
        <v>0.0006024617784570703</v>
      </c>
      <c r="L266" s="70">
        <f t="shared" si="62"/>
        <v>1.1242541167395367E-08</v>
      </c>
      <c r="M266" s="71">
        <f t="shared" si="62"/>
        <v>0.003338987669826402</v>
      </c>
    </row>
    <row r="267" spans="1:13" s="60" customFormat="1" ht="12.75">
      <c r="A267" s="65" t="s">
        <v>94</v>
      </c>
      <c r="B267" s="70">
        <f aca="true" t="shared" si="63" ref="B267:M267">IF(B$264&lt;$B$277,B$258*((B$264-$B$277)^2),0)</f>
        <v>0.0004816446021206808</v>
      </c>
      <c r="C267" s="70">
        <f t="shared" si="63"/>
        <v>0.00030135156002722544</v>
      </c>
      <c r="D267" s="70">
        <f t="shared" si="63"/>
        <v>0.0003616218720326705</v>
      </c>
      <c r="E267" s="70">
        <f t="shared" si="63"/>
        <v>8.431905875546527E-09</v>
      </c>
      <c r="F267" s="70">
        <f t="shared" si="63"/>
        <v>5.7419764089347194E-05</v>
      </c>
      <c r="G267" s="70">
        <f t="shared" si="63"/>
        <v>0</v>
      </c>
      <c r="H267" s="70">
        <f t="shared" si="63"/>
        <v>0.0011161890321683791</v>
      </c>
      <c r="I267" s="70">
        <f t="shared" si="63"/>
        <v>0.00038813413285271103</v>
      </c>
      <c r="J267" s="70">
        <f t="shared" si="63"/>
        <v>0.0004657609594232533</v>
      </c>
      <c r="K267" s="70">
        <f t="shared" si="63"/>
        <v>0</v>
      </c>
      <c r="L267" s="70">
        <f t="shared" si="63"/>
        <v>1.1242541167395367E-08</v>
      </c>
      <c r="M267" s="71">
        <f t="shared" si="63"/>
        <v>0</v>
      </c>
    </row>
    <row r="268" spans="1:13" s="60" customFormat="1" ht="13.5" thickBot="1">
      <c r="A268" s="93" t="s">
        <v>95</v>
      </c>
      <c r="B268" s="69">
        <f aca="true" t="shared" si="64" ref="B268:M268">IF(B$264&gt;$B$277,B$258*((B$264-$B$277)^2),0)</f>
        <v>0</v>
      </c>
      <c r="C268" s="69">
        <f t="shared" si="64"/>
        <v>0</v>
      </c>
      <c r="D268" s="69">
        <f t="shared" si="64"/>
        <v>0</v>
      </c>
      <c r="E268" s="69">
        <f t="shared" si="64"/>
        <v>0</v>
      </c>
      <c r="F268" s="69">
        <f t="shared" si="64"/>
        <v>0</v>
      </c>
      <c r="G268" s="69">
        <f t="shared" si="64"/>
        <v>0.00029514278090323013</v>
      </c>
      <c r="H268" s="69">
        <f t="shared" si="64"/>
        <v>0</v>
      </c>
      <c r="I268" s="69">
        <f t="shared" si="64"/>
        <v>0</v>
      </c>
      <c r="J268" s="69">
        <f t="shared" si="64"/>
        <v>0</v>
      </c>
      <c r="K268" s="69">
        <f t="shared" si="64"/>
        <v>0.0006024617784570703</v>
      </c>
      <c r="L268" s="69">
        <f t="shared" si="64"/>
        <v>0</v>
      </c>
      <c r="M268" s="89">
        <f t="shared" si="64"/>
        <v>0.003338987669826402</v>
      </c>
    </row>
    <row r="269" spans="1:14" s="60" customFormat="1" ht="12.75">
      <c r="A269" s="62" t="s">
        <v>96</v>
      </c>
      <c r="B269" s="76">
        <f>$I53</f>
        <v>-492856.65692927566</v>
      </c>
      <c r="C269" s="76">
        <f>$I71</f>
        <v>-313373.5288266474</v>
      </c>
      <c r="D269" s="76">
        <f>$I89</f>
        <v>-313373.5288266474</v>
      </c>
      <c r="E269" s="76">
        <f>$I107</f>
        <v>45592.72737860919</v>
      </c>
      <c r="F269" s="76">
        <f>$I125</f>
        <v>-133890.40072401898</v>
      </c>
      <c r="G269" s="76">
        <f>$I143</f>
        <v>404558.9835838656</v>
      </c>
      <c r="H269" s="76">
        <f>$I162</f>
        <v>-433028.947561733</v>
      </c>
      <c r="I269" s="76">
        <f>$I180</f>
        <v>-193718.11009156186</v>
      </c>
      <c r="J269" s="76">
        <f>$I198</f>
        <v>-193718.11009156186</v>
      </c>
      <c r="K269" s="76">
        <f>$I216</f>
        <v>284903.56484878034</v>
      </c>
      <c r="L269" s="76">
        <f>$I234</f>
        <v>45592.72737860919</v>
      </c>
      <c r="M269" s="73">
        <f>$I252</f>
        <v>763525.2397891222</v>
      </c>
      <c r="N269" s="59"/>
    </row>
    <row r="270" spans="1:13" ht="12.75">
      <c r="A270" s="61" t="s">
        <v>97</v>
      </c>
      <c r="B270" s="64">
        <f>B$258*B$269</f>
        <v>-12321.416423231893</v>
      </c>
      <c r="C270" s="64">
        <f aca="true" t="shared" si="65" ref="C270:M270">C$258*C$269</f>
        <v>-11751.507330999277</v>
      </c>
      <c r="D270" s="64">
        <f t="shared" si="65"/>
        <v>-14101.808797199132</v>
      </c>
      <c r="E270" s="64">
        <f t="shared" si="65"/>
        <v>3077.5090980561204</v>
      </c>
      <c r="F270" s="64">
        <f t="shared" si="65"/>
        <v>-4016.7120217205693</v>
      </c>
      <c r="G270" s="64">
        <f t="shared" si="65"/>
        <v>18205.154261273954</v>
      </c>
      <c r="H270" s="64">
        <f t="shared" si="65"/>
        <v>-32477.171067129973</v>
      </c>
      <c r="I270" s="64">
        <f t="shared" si="65"/>
        <v>-21793.28738530071</v>
      </c>
      <c r="J270" s="64">
        <f t="shared" si="65"/>
        <v>-26151.94486236085</v>
      </c>
      <c r="K270" s="64">
        <f t="shared" si="65"/>
        <v>57692.971881878024</v>
      </c>
      <c r="L270" s="64">
        <f t="shared" si="65"/>
        <v>4103.345464074827</v>
      </c>
      <c r="M270" s="64">
        <f t="shared" si="65"/>
        <v>103075.90737153152</v>
      </c>
    </row>
    <row r="271" spans="1:14" s="60" customFormat="1" ht="12.75">
      <c r="A271" s="65" t="s">
        <v>98</v>
      </c>
      <c r="B271" s="77">
        <f aca="true" t="shared" si="66" ref="B271:M271">B$258*((B$269-$B$278)^2)</f>
        <v>7739459933.959452</v>
      </c>
      <c r="C271" s="77">
        <f t="shared" si="66"/>
        <v>5327422212.605804</v>
      </c>
      <c r="D271" s="77">
        <f t="shared" si="66"/>
        <v>6392906655.1269655</v>
      </c>
      <c r="E271" s="77">
        <f t="shared" si="66"/>
        <v>21744580.459615603</v>
      </c>
      <c r="F271" s="77">
        <f t="shared" si="66"/>
        <v>1169375215.8282115</v>
      </c>
      <c r="G271" s="77">
        <f t="shared" si="66"/>
        <v>5233195697.280796</v>
      </c>
      <c r="H271" s="77">
        <f t="shared" si="66"/>
        <v>18493631455.097706</v>
      </c>
      <c r="I271" s="77">
        <f t="shared" si="66"/>
        <v>7445505420.338724</v>
      </c>
      <c r="J271" s="77">
        <f t="shared" si="66"/>
        <v>8934606504.40647</v>
      </c>
      <c r="K271" s="77">
        <f t="shared" si="66"/>
        <v>9922776883.071222</v>
      </c>
      <c r="L271" s="77">
        <f t="shared" si="66"/>
        <v>28992773.946154136</v>
      </c>
      <c r="M271" s="78">
        <f t="shared" si="66"/>
        <v>66147013758.1504</v>
      </c>
      <c r="N271" s="59"/>
    </row>
    <row r="272" spans="1:14" s="60" customFormat="1" ht="12.75">
      <c r="A272" s="65" t="s">
        <v>99</v>
      </c>
      <c r="B272" s="77">
        <f aca="true" t="shared" si="67" ref="B272:M272">IF(B$269&lt;$B$278,B$258*((B$269-$B$278)^2),0)</f>
        <v>7739459933.959452</v>
      </c>
      <c r="C272" s="77">
        <f t="shared" si="67"/>
        <v>5327422212.605804</v>
      </c>
      <c r="D272" s="77">
        <f t="shared" si="67"/>
        <v>6392906655.1269655</v>
      </c>
      <c r="E272" s="77">
        <f t="shared" si="67"/>
        <v>21744580.459615603</v>
      </c>
      <c r="F272" s="77">
        <f t="shared" si="67"/>
        <v>1169375215.8282115</v>
      </c>
      <c r="G272" s="77">
        <f t="shared" si="67"/>
        <v>0</v>
      </c>
      <c r="H272" s="77">
        <f t="shared" si="67"/>
        <v>18493631455.097706</v>
      </c>
      <c r="I272" s="77">
        <f t="shared" si="67"/>
        <v>7445505420.338724</v>
      </c>
      <c r="J272" s="77">
        <f t="shared" si="67"/>
        <v>8934606504.40647</v>
      </c>
      <c r="K272" s="77">
        <f t="shared" si="67"/>
        <v>0</v>
      </c>
      <c r="L272" s="77">
        <f t="shared" si="67"/>
        <v>28992773.946154136</v>
      </c>
      <c r="M272" s="78">
        <f t="shared" si="67"/>
        <v>0</v>
      </c>
      <c r="N272" s="59"/>
    </row>
    <row r="273" spans="1:13" ht="13.5" thickBot="1">
      <c r="A273" s="67" t="s">
        <v>100</v>
      </c>
      <c r="B273" s="80">
        <f aca="true" t="shared" si="68" ref="B273:M273">IF(B$269&gt;$B$278,B$258*((B$269-$B$278)^2),0)</f>
        <v>0</v>
      </c>
      <c r="C273" s="80">
        <f t="shared" si="68"/>
        <v>0</v>
      </c>
      <c r="D273" s="80">
        <f t="shared" si="68"/>
        <v>0</v>
      </c>
      <c r="E273" s="80">
        <f t="shared" si="68"/>
        <v>0</v>
      </c>
      <c r="F273" s="80">
        <f t="shared" si="68"/>
        <v>0</v>
      </c>
      <c r="G273" s="80">
        <f t="shared" si="68"/>
        <v>5233195697.280796</v>
      </c>
      <c r="H273" s="80">
        <f t="shared" si="68"/>
        <v>0</v>
      </c>
      <c r="I273" s="80">
        <f t="shared" si="68"/>
        <v>0</v>
      </c>
      <c r="J273" s="80">
        <f t="shared" si="68"/>
        <v>0</v>
      </c>
      <c r="K273" s="80">
        <f t="shared" si="68"/>
        <v>9922776883.071222</v>
      </c>
      <c r="L273" s="80">
        <f t="shared" si="68"/>
        <v>0</v>
      </c>
      <c r="M273" s="90">
        <f t="shared" si="68"/>
        <v>66147013758.1504</v>
      </c>
    </row>
    <row r="274" ht="14.25" thickBot="1" thickTop="1"/>
    <row r="275" spans="1:14" ht="14.25" thickBot="1" thickTop="1">
      <c r="A275" s="68" t="s">
        <v>101</v>
      </c>
      <c r="B275" s="26" t="s">
        <v>102</v>
      </c>
      <c r="C275" s="26" t="s">
        <v>103</v>
      </c>
      <c r="D275" s="87" t="s">
        <v>104</v>
      </c>
      <c r="E275" s="81"/>
      <c r="F275" s="87" t="s">
        <v>105</v>
      </c>
      <c r="G275" s="81"/>
      <c r="N275"/>
    </row>
    <row r="276" spans="1:14" ht="12.75">
      <c r="A276" s="61" t="s">
        <v>106</v>
      </c>
      <c r="B276" s="64">
        <f>SUM($B260:$M260)</f>
        <v>36601.974881019574</v>
      </c>
      <c r="C276" s="64">
        <f>SQRT(SUM($B261:$M261))</f>
        <v>371942.1954227679</v>
      </c>
      <c r="D276" s="82">
        <f>SQRT(SUM($B262:$M262))</f>
        <v>236972.96711449503</v>
      </c>
      <c r="E276" s="83"/>
      <c r="F276" s="82">
        <f>SQRT(SUM($B263:$M263))</f>
        <v>286678.93119805807</v>
      </c>
      <c r="G276" s="83"/>
      <c r="N276"/>
    </row>
    <row r="277" spans="1:14" ht="12.75">
      <c r="A277" s="65" t="s">
        <v>91</v>
      </c>
      <c r="B277" s="66">
        <f>SUM($B265:$M265)</f>
        <v>0.0897180003509715</v>
      </c>
      <c r="C277" s="66">
        <f>SQRT(SUM($B266:$M266))</f>
        <v>0.08607400203515585</v>
      </c>
      <c r="D277" s="84">
        <f>SQRT(SUM($B267:$M267))</f>
        <v>0.056321768412944125</v>
      </c>
      <c r="E277" s="83"/>
      <c r="F277" s="84">
        <f>SQRT(SUM($B268:$M268))</f>
        <v>0.06508910991238628</v>
      </c>
      <c r="G277" s="83"/>
      <c r="N277"/>
    </row>
    <row r="278" spans="1:14" ht="13.5" thickBot="1">
      <c r="A278" s="67" t="s">
        <v>107</v>
      </c>
      <c r="B278" s="63">
        <f>SUM($B270:$M270)</f>
        <v>63541.04018887205</v>
      </c>
      <c r="C278" s="63">
        <f>SQRT(SUM($B271:$M271))</f>
        <v>369941.3887229591</v>
      </c>
      <c r="D278" s="85">
        <f>SQRT(SUM($B272:$M272))</f>
        <v>235698.20693371663</v>
      </c>
      <c r="E278" s="86"/>
      <c r="F278" s="85">
        <f>SQRT(SUM($B273:$M273))</f>
        <v>285136.785312773</v>
      </c>
      <c r="G278" s="86"/>
      <c r="N278"/>
    </row>
    <row r="279" ht="13.5" thickTop="1"/>
  </sheetData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50" r:id="rId1"/>
  <headerFooter alignWithMargins="0">
    <oddHeader>&amp;CCas Nipul (Corrigé : J.F. Gueugnon)</oddHeader>
    <oddFooter>&amp;CPage &amp;P</oddFooter>
  </headerFooter>
  <rowBreaks count="3" manualBreakCount="3">
    <brk id="71" max="65535" man="1"/>
    <brk id="144" max="65535" man="1"/>
    <brk id="21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Jean-François Gueugnon</cp:lastModifiedBy>
  <cp:lastPrinted>2001-01-08T14:43:22Z</cp:lastPrinted>
  <dcterms:created xsi:type="dcterms:W3CDTF">2000-11-24T11:32:38Z</dcterms:created>
  <dcterms:modified xsi:type="dcterms:W3CDTF">2001-01-08T14:44:54Z</dcterms:modified>
  <cp:category/>
  <cp:version/>
  <cp:contentType/>
  <cp:contentStatus/>
</cp:coreProperties>
</file>