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380" windowHeight="3165" firstSheet="1" activeTab="1"/>
  </bookViews>
  <sheets>
    <sheet name="Feuil17" sheetId="1" r:id="rId1"/>
    <sheet name="Paramètres" sheetId="2" r:id="rId2"/>
    <sheet name="Amort" sheetId="3" r:id="rId3"/>
    <sheet name="Fonds propres" sheetId="4" r:id="rId4"/>
    <sheet name="Régression" sheetId="5" r:id="rId5"/>
    <sheet name="Dettes in fine" sheetId="6" r:id="rId6"/>
    <sheet name="Dettes annuité" sheetId="7" r:id="rId7"/>
    <sheet name="Caslin" sheetId="8" r:id="rId8"/>
    <sheet name="Casdeg" sheetId="9" r:id="rId9"/>
    <sheet name="Autofin" sheetId="10" r:id="rId10"/>
    <sheet name="Feuil8" sheetId="11" r:id="rId11"/>
    <sheet name="Feuil9" sheetId="12" r:id="rId12"/>
    <sheet name="Feuil10" sheetId="13" r:id="rId13"/>
    <sheet name="Feuil11" sheetId="14" r:id="rId14"/>
    <sheet name="Feuil12" sheetId="15" r:id="rId15"/>
    <sheet name="Feuil13" sheetId="16" r:id="rId16"/>
    <sheet name="Feuil14" sheetId="17" r:id="rId17"/>
    <sheet name="Feuil15" sheetId="18" r:id="rId18"/>
    <sheet name="Feuil16" sheetId="19" r:id="rId19"/>
  </sheets>
  <definedNames>
    <definedName name="vdb">'Amort'!$C$12</definedName>
  </definedNames>
  <calcPr fullCalcOnLoad="1"/>
</workbook>
</file>

<file path=xl/sharedStrings.xml><?xml version="1.0" encoding="utf-8"?>
<sst xmlns="http://schemas.openxmlformats.org/spreadsheetml/2006/main" count="257" uniqueCount="145">
  <si>
    <t>CARACTERISTIQUES DU PROJET D'INVESTISSEMENT</t>
  </si>
  <si>
    <t>MONTANT</t>
  </si>
  <si>
    <t>Investissement</t>
  </si>
  <si>
    <t>Prix de cession à terme</t>
  </si>
  <si>
    <t>PRODUCTION - VENTE</t>
  </si>
  <si>
    <t>Nombre de pièces</t>
  </si>
  <si>
    <t>FISCALITE</t>
  </si>
  <si>
    <t>Taux d'impôt sur les bénéfices</t>
  </si>
  <si>
    <t>Taux d'impôt sur les plus-values à court terme</t>
  </si>
  <si>
    <t>Taux d'impôt sur les plus-values à long terme</t>
  </si>
  <si>
    <t>TAUX D'INTERET</t>
  </si>
  <si>
    <t>Taux annuel de réinvestissement</t>
  </si>
  <si>
    <t>Taux sans risque annuel</t>
  </si>
  <si>
    <t>Taux sans risque quotidien</t>
  </si>
  <si>
    <t>Tableau d'amortissement linéaire</t>
  </si>
  <si>
    <t>Année</t>
  </si>
  <si>
    <t xml:space="preserve">VNC en </t>
  </si>
  <si>
    <t>Dotations aux</t>
  </si>
  <si>
    <t>VNC en</t>
  </si>
  <si>
    <t xml:space="preserve">début d'année </t>
  </si>
  <si>
    <t>amortissements</t>
  </si>
  <si>
    <t>fin d'année</t>
  </si>
  <si>
    <t>Tableau d'amortissement dégressif</t>
  </si>
  <si>
    <t>Date</t>
  </si>
  <si>
    <t>Cours</t>
  </si>
  <si>
    <t>Dividendes</t>
  </si>
  <si>
    <t>Indice de marché</t>
  </si>
  <si>
    <t>Rentabilité Serol</t>
  </si>
  <si>
    <t>N-10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</si>
  <si>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</si>
  <si>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</si>
  <si>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</si>
  <si>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</si>
  <si>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</si>
  <si>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</si>
  <si>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</si>
  <si>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</si>
  <si>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</si>
  <si>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Rentabilité moyenne de la période</t>
  </si>
  <si>
    <t>Année 0</t>
  </si>
  <si>
    <t>Année 1</t>
  </si>
  <si>
    <t>Année 2</t>
  </si>
  <si>
    <t>Année 3</t>
  </si>
  <si>
    <t>Année 4</t>
  </si>
  <si>
    <t>Année 5</t>
  </si>
  <si>
    <t>Invest.</t>
  </si>
  <si>
    <t>Pas d'Invest.</t>
  </si>
  <si>
    <t>Chiffre d'affaires</t>
  </si>
  <si>
    <t>Frais de main d'oeuvre</t>
  </si>
  <si>
    <t>Frais administratifs</t>
  </si>
  <si>
    <t>Dotations aux amortissements</t>
  </si>
  <si>
    <t>Résultat avant impôt</t>
  </si>
  <si>
    <t>Impôt sur les bénéfices</t>
  </si>
  <si>
    <t>Résultat net comptable</t>
  </si>
  <si>
    <t>Marge d'autofinancement</t>
  </si>
  <si>
    <t>Flux net de trésorerie d'exploitation</t>
  </si>
  <si>
    <t>Sorties nettes de trésorerie</t>
  </si>
  <si>
    <t xml:space="preserve">   Dépenses d'équipement</t>
  </si>
  <si>
    <t>Rentrées nettes de trésorerie</t>
  </si>
  <si>
    <t xml:space="preserve">   Flux net de trésorerie d'exploitation</t>
  </si>
  <si>
    <t xml:space="preserve">   Prix de cession net du nouvel équip.</t>
  </si>
  <si>
    <t>Flux net de trésorerie</t>
  </si>
  <si>
    <t>Flux net de trésorerie réinvesti</t>
  </si>
  <si>
    <t>Flux net de trésorerie réinvesti et actualisé</t>
  </si>
  <si>
    <t>Critères</t>
  </si>
  <si>
    <t>VAN Globale</t>
  </si>
  <si>
    <t xml:space="preserve"> </t>
  </si>
  <si>
    <t>TIR Global</t>
  </si>
  <si>
    <t>Prime de l'indice de marché</t>
  </si>
  <si>
    <t>Prime de l'action Serol</t>
  </si>
  <si>
    <t>Rentabilité de l'indice de marché</t>
  </si>
  <si>
    <t>Coefficient de régression</t>
  </si>
  <si>
    <t>R2</t>
  </si>
  <si>
    <t>Rho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</si>
  <si>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</si>
  <si>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</si>
  <si>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</si>
  <si>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</si>
  <si>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</si>
  <si>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</si>
  <si>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</si>
  <si>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</si>
  <si>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</si>
  <si>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</si>
  <si>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</si>
  <si>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</si>
  <si>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</si>
  <si>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</si>
  <si>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</si>
  <si>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</si>
  <si>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</si>
  <si>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</si>
  <si>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</si>
  <si>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</si>
  <si>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</si>
  <si>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= ((1+F12)^365)-1 =</t>
  </si>
  <si>
    <t>Taux de rentabilité annuel de l'indice de marché M</t>
  </si>
  <si>
    <t>Taux de rentabilité annuel de l'action SEROL normé selon le MEDAF</t>
  </si>
  <si>
    <t>=Paramètres!B16+(Cours!A20*(Cours!H24-Paramètres!B16))</t>
  </si>
  <si>
    <t>Taux d'intérêt nominal</t>
  </si>
  <si>
    <t>Taux de rentabilité de la dette</t>
  </si>
  <si>
    <t>Taux de la prime de remboursement</t>
  </si>
  <si>
    <t>Mode de remboursement (In fine : 0; Annuité cste=1)</t>
  </si>
  <si>
    <t>Annuité constante par unité monétaire</t>
  </si>
  <si>
    <t>Assiette des frais (montant effectif=1;montant nominal=0)</t>
  </si>
  <si>
    <t>Point de vue de l'émetteur</t>
  </si>
  <si>
    <t>Taux de frais nominal (à la charge de l'émetteur)</t>
  </si>
  <si>
    <t>Taux d'imposition de l'émetteur</t>
  </si>
  <si>
    <t>Taux de frais effectif à la charge de l'émetteur</t>
  </si>
  <si>
    <t>Année t</t>
  </si>
  <si>
    <t>Flux financiers annuels</t>
  </si>
  <si>
    <t>Flux financiers actualisés</t>
  </si>
  <si>
    <t>Produit brut de l'émission</t>
  </si>
  <si>
    <t>Frais financiers réels annuels</t>
  </si>
  <si>
    <t>Primes de remboursement réelles des titres</t>
  </si>
  <si>
    <t>Frais réels à la charge de l'émetteur</t>
  </si>
  <si>
    <t>FINANCEMENT</t>
  </si>
  <si>
    <t>Proportion financée par autofinancement</t>
  </si>
  <si>
    <t>Proportion financée par fonds propres</t>
  </si>
  <si>
    <t>Proportion financée par dettes financières</t>
  </si>
  <si>
    <t>Analyse de la régression</t>
  </si>
  <si>
    <t>Montant nominal de la dette remboursée l'année t</t>
  </si>
  <si>
    <t>Frais nominaux à la charge de l'émetteur</t>
  </si>
  <si>
    <t>Produit nominal de la dette à l'émission</t>
  </si>
  <si>
    <t>Échéance de la dette (en années)</t>
  </si>
  <si>
    <t>Coût de la dette =</t>
  </si>
  <si>
    <t>Annuité constante</t>
  </si>
  <si>
    <t>Coût moyen pondéré du capital du projet</t>
  </si>
  <si>
    <t>Taux d'autofinancement =</t>
  </si>
  <si>
    <t>Paramètres du contrat de dette</t>
  </si>
  <si>
    <t>Cas N°1 : Dette Remboursée In Fine</t>
  </si>
  <si>
    <t>Cas N°2 : Dette Remboursée par annuité constante</t>
  </si>
  <si>
    <t>Coût des fonds propres = taux de rentabilité normé (en l'absence d'éco. d'impôt liée à l'émission de nouvelles actions)</t>
  </si>
  <si>
    <t>1. L'action est-elle efficiente ?</t>
  </si>
  <si>
    <t xml:space="preserve">2. Quelle confiance doit-on avoir dans le beta de l'action </t>
  </si>
  <si>
    <t>Questions subsidiaires</t>
  </si>
  <si>
    <t>RESULTATS DE LA REGRESSION</t>
  </si>
  <si>
    <t>Variable Beta</t>
  </si>
  <si>
    <t>Durée de vie fiscale du projet d'investissement (en années)</t>
  </si>
  <si>
    <t>Durée de vie économique du projet d'investissement (en années)</t>
  </si>
  <si>
    <t xml:space="preserve">   Variation du capital circulant</t>
  </si>
  <si>
    <t>Coefficient d'amortissement dégressif du projet</t>
  </si>
  <si>
    <t>Prix de vente unitaire (en euros)</t>
  </si>
  <si>
    <t>Frais de main d'oeuvre par pièce (en euros)</t>
  </si>
  <si>
    <t>Frais administratifs par pièce (en euros)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</si>
</sst>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#,##0;\-#,##0"/>
    <numFmt numFmtId="170" formatCode="0.000%"/>
    <numFmt numFmtId="171" formatCode="0.0000%"/>
    <numFmt numFmtId="172" formatCode="0.00000%"/>
    <numFmt numFmtId="173" formatCode="0.000000%"/>
    <numFmt numFmtId="174" formatCode="_-* #,##0\ _F_-;\-* #,##0\ _F_-;_-* &quot;-&quot;??\ _F_-;_-@_-"/>
    <numFmt numFmtId="175" formatCode="#,##0.00\ &quot;€&quot;"/>
    <numFmt numFmtId="176" formatCode="_-* #,##0.00\ [$€]_-;\-* #,##0.00\ [$€]_-;_-* &quot;-&quot;??\ [$€]_-;_-@_-"/>
    <numFmt numFmtId="177" formatCode="0.000000"/>
    <numFmt numFmtId="178" formatCode="#,##0.00\ [$€-1];[Red]\-#,##0.00\ [$€-1]"/>
    <numFmt numFmtId="179" formatCode="#,##0.00_ ;\-#,##0.00\ "/>
    <numFmt numFmtId="180" formatCode="#,##0_ ;\-#,##0\ "/>
    <numFmt numFmtId="181" formatCode="#,##0.00000_ ;\-#,##0.00000\ "/>
    <numFmt numFmtId="182" formatCode="_-* #,##0.000\ _F_-;\-* #,##0.000\ _F_-;_-* &quot;-&quot;??\ _F_-;_-@_-"/>
    <numFmt numFmtId="183" formatCode="_-* #,##0.0000\ _F_-;\-* #,##0.0000\ _F_-;_-* &quot;-&quot;??\ _F_-;_-@_-"/>
    <numFmt numFmtId="184" formatCode="_-* #,##0.0\ _F_-;\-* #,##0.0\ _F_-;_-* &quot;-&quot;??\ _F_-;_-@_-"/>
    <numFmt numFmtId="185" formatCode="#,##0.000"/>
    <numFmt numFmtId="186" formatCode="#,##0.0000"/>
    <numFmt numFmtId="187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color indexed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173" fontId="5" fillId="0" borderId="4" xfId="2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167" fontId="5" fillId="0" borderId="7" xfId="18" applyFont="1" applyBorder="1" applyAlignment="1">
      <alignment/>
    </xf>
    <xf numFmtId="0" fontId="4" fillId="0" borderId="8" xfId="0" applyFont="1" applyBorder="1" applyAlignment="1">
      <alignment horizontal="left"/>
    </xf>
    <xf numFmtId="172" fontId="5" fillId="0" borderId="2" xfId="2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2" borderId="19" xfId="0" applyFont="1" applyFill="1" applyBorder="1" applyAlignment="1">
      <alignment horizontal="centerContinuous"/>
    </xf>
    <xf numFmtId="0" fontId="6" fillId="2" borderId="20" xfId="0" applyFont="1" applyFill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169" fontId="5" fillId="0" borderId="28" xfId="0" applyNumberFormat="1" applyFont="1" applyBorder="1" applyAlignment="1">
      <alignment/>
    </xf>
    <xf numFmtId="169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169" fontId="5" fillId="0" borderId="31" xfId="0" applyNumberFormat="1" applyFont="1" applyBorder="1" applyAlignment="1">
      <alignment/>
    </xf>
    <xf numFmtId="169" fontId="5" fillId="0" borderId="32" xfId="0" applyNumberFormat="1" applyFont="1" applyBorder="1" applyAlignment="1">
      <alignment/>
    </xf>
    <xf numFmtId="0" fontId="5" fillId="3" borderId="0" xfId="0" applyFont="1" applyFill="1" applyBorder="1" applyAlignment="1">
      <alignment/>
    </xf>
    <xf numFmtId="169" fontId="5" fillId="3" borderId="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3" xfId="0" applyFont="1" applyBorder="1" applyAlignment="1">
      <alignment/>
    </xf>
    <xf numFmtId="0" fontId="6" fillId="2" borderId="34" xfId="0" applyFont="1" applyFill="1" applyBorder="1" applyAlignment="1">
      <alignment horizontal="centerContinuous"/>
    </xf>
    <xf numFmtId="0" fontId="6" fillId="2" borderId="35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5" fillId="0" borderId="36" xfId="0" applyFont="1" applyBorder="1" applyAlignment="1">
      <alignment/>
    </xf>
    <xf numFmtId="1" fontId="6" fillId="2" borderId="37" xfId="0" applyNumberFormat="1" applyFont="1" applyFill="1" applyBorder="1" applyAlignment="1">
      <alignment vertical="center"/>
    </xf>
    <xf numFmtId="1" fontId="6" fillId="2" borderId="38" xfId="0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horizontal="centerContinuous"/>
    </xf>
    <xf numFmtId="0" fontId="6" fillId="2" borderId="38" xfId="0" applyFont="1" applyFill="1" applyBorder="1" applyAlignment="1">
      <alignment horizontal="centerContinuous"/>
    </xf>
    <xf numFmtId="0" fontId="6" fillId="2" borderId="39" xfId="0" applyFont="1" applyFill="1" applyBorder="1" applyAlignment="1">
      <alignment horizontal="centerContinuous"/>
    </xf>
    <xf numFmtId="0" fontId="7" fillId="0" borderId="36" xfId="0" applyFont="1" applyBorder="1" applyAlignment="1">
      <alignment/>
    </xf>
    <xf numFmtId="4" fontId="7" fillId="0" borderId="3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40" xfId="0" applyFont="1" applyBorder="1" applyAlignment="1">
      <alignment horizontal="left"/>
    </xf>
    <xf numFmtId="4" fontId="5" fillId="0" borderId="0" xfId="16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7" fillId="0" borderId="4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7" fillId="2" borderId="41" xfId="0" applyFont="1" applyFill="1" applyBorder="1" applyAlignment="1">
      <alignment/>
    </xf>
    <xf numFmtId="4" fontId="7" fillId="2" borderId="42" xfId="0" applyNumberFormat="1" applyFont="1" applyFill="1" applyBorder="1" applyAlignment="1">
      <alignment horizontal="centerContinuous" vertical="center"/>
    </xf>
    <xf numFmtId="4" fontId="7" fillId="2" borderId="43" xfId="0" applyNumberFormat="1" applyFont="1" applyFill="1" applyBorder="1" applyAlignment="1">
      <alignment horizontal="centerContinuous"/>
    </xf>
    <xf numFmtId="4" fontId="7" fillId="2" borderId="42" xfId="0" applyNumberFormat="1" applyFont="1" applyFill="1" applyBorder="1" applyAlignment="1">
      <alignment horizontal="centerContinuous"/>
    </xf>
    <xf numFmtId="4" fontId="7" fillId="2" borderId="44" xfId="0" applyNumberFormat="1" applyFont="1" applyFill="1" applyBorder="1" applyAlignment="1">
      <alignment horizontal="centerContinuous"/>
    </xf>
    <xf numFmtId="0" fontId="7" fillId="2" borderId="45" xfId="0" applyFont="1" applyFill="1" applyBorder="1" applyAlignment="1">
      <alignment/>
    </xf>
    <xf numFmtId="4" fontId="5" fillId="2" borderId="46" xfId="16" applyNumberFormat="1" applyFont="1" applyFill="1" applyBorder="1" applyAlignment="1">
      <alignment horizontal="centerContinuous"/>
    </xf>
    <xf numFmtId="4" fontId="5" fillId="2" borderId="47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4" fontId="5" fillId="3" borderId="26" xfId="16" applyNumberFormat="1" applyFont="1" applyFill="1" applyBorder="1" applyAlignment="1">
      <alignment horizontal="centerContinuous"/>
    </xf>
    <xf numFmtId="0" fontId="5" fillId="2" borderId="48" xfId="0" applyFont="1" applyFill="1" applyBorder="1" applyAlignment="1">
      <alignment/>
    </xf>
    <xf numFmtId="169" fontId="5" fillId="2" borderId="19" xfId="0" applyNumberFormat="1" applyFont="1" applyFill="1" applyBorder="1" applyAlignment="1">
      <alignment/>
    </xf>
    <xf numFmtId="169" fontId="5" fillId="2" borderId="20" xfId="0" applyNumberFormat="1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168" fontId="5" fillId="0" borderId="2" xfId="16" applyFont="1" applyBorder="1" applyAlignment="1">
      <alignment/>
    </xf>
    <xf numFmtId="168" fontId="5" fillId="0" borderId="2" xfId="16" applyFont="1" applyBorder="1" applyAlignment="1">
      <alignment horizontal="right" vertical="center"/>
    </xf>
    <xf numFmtId="168" fontId="5" fillId="0" borderId="4" xfId="16" applyFont="1" applyBorder="1" applyAlignment="1">
      <alignment horizontal="right" vertical="center"/>
    </xf>
    <xf numFmtId="173" fontId="5" fillId="0" borderId="0" xfId="0" applyNumberFormat="1" applyFont="1" applyAlignment="1">
      <alignment horizontal="center"/>
    </xf>
    <xf numFmtId="0" fontId="6" fillId="2" borderId="57" xfId="0" applyFont="1" applyFill="1" applyBorder="1" applyAlignment="1">
      <alignment horizontal="left"/>
    </xf>
    <xf numFmtId="0" fontId="6" fillId="2" borderId="58" xfId="0" applyFont="1" applyFill="1" applyBorder="1" applyAlignment="1">
      <alignment horizontal="center"/>
    </xf>
    <xf numFmtId="173" fontId="6" fillId="2" borderId="58" xfId="20" applyNumberFormat="1" applyFont="1" applyFill="1" applyBorder="1" applyAlignment="1">
      <alignment horizontal="center" vertical="center"/>
    </xf>
    <xf numFmtId="173" fontId="6" fillId="2" borderId="59" xfId="20" applyNumberFormat="1" applyFont="1" applyFill="1" applyBorder="1" applyAlignment="1">
      <alignment horizontal="center" vertical="center"/>
    </xf>
    <xf numFmtId="173" fontId="6" fillId="2" borderId="60" xfId="20" applyNumberFormat="1" applyFont="1" applyFill="1" applyBorder="1" applyAlignment="1">
      <alignment horizontal="center" vertical="center"/>
    </xf>
    <xf numFmtId="173" fontId="6" fillId="2" borderId="61" xfId="2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8" fontId="5" fillId="0" borderId="15" xfId="16" applyFont="1" applyBorder="1" applyAlignment="1">
      <alignment horizontal="center"/>
    </xf>
    <xf numFmtId="177" fontId="5" fillId="0" borderId="52" xfId="16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3" fontId="6" fillId="0" borderId="0" xfId="20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170" fontId="5" fillId="0" borderId="0" xfId="20" applyNumberFormat="1" applyFont="1" applyAlignment="1">
      <alignment horizontal="center"/>
    </xf>
    <xf numFmtId="0" fontId="5" fillId="0" borderId="0" xfId="0" applyFont="1" applyAlignment="1" quotePrefix="1">
      <alignment horizontal="left"/>
    </xf>
    <xf numFmtId="170" fontId="5" fillId="0" borderId="0" xfId="2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175" fontId="6" fillId="0" borderId="7" xfId="18" applyNumberFormat="1" applyFont="1" applyBorder="1" applyAlignment="1">
      <alignment/>
    </xf>
    <xf numFmtId="10" fontId="5" fillId="0" borderId="2" xfId="2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4" fontId="5" fillId="2" borderId="62" xfId="16" applyNumberFormat="1" applyFont="1" applyFill="1" applyBorder="1" applyAlignment="1">
      <alignment horizontal="centerContinuous"/>
    </xf>
    <xf numFmtId="4" fontId="5" fillId="2" borderId="47" xfId="16" applyNumberFormat="1" applyFont="1" applyFill="1" applyBorder="1" applyAlignment="1">
      <alignment horizontal="centerContinuous"/>
    </xf>
    <xf numFmtId="4" fontId="5" fillId="2" borderId="63" xfId="16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16" applyFont="1" applyAlignment="1">
      <alignment horizontal="center"/>
    </xf>
    <xf numFmtId="178" fontId="8" fillId="0" borderId="0" xfId="0" applyNumberFormat="1" applyFont="1" applyAlignment="1">
      <alignment/>
    </xf>
    <xf numFmtId="173" fontId="8" fillId="0" borderId="0" xfId="20" applyNumberFormat="1" applyFont="1" applyAlignment="1">
      <alignment horizontal="center"/>
    </xf>
    <xf numFmtId="172" fontId="8" fillId="0" borderId="0" xfId="20" applyNumberFormat="1" applyFont="1" applyAlignment="1">
      <alignment horizontal="center"/>
    </xf>
    <xf numFmtId="0" fontId="8" fillId="0" borderId="0" xfId="16" applyNumberFormat="1" applyFont="1" applyAlignment="1">
      <alignment horizontal="center"/>
    </xf>
    <xf numFmtId="9" fontId="8" fillId="0" borderId="0" xfId="16" applyNumberFormat="1" applyFont="1" applyAlignment="1">
      <alignment horizontal="center"/>
    </xf>
    <xf numFmtId="179" fontId="8" fillId="0" borderId="0" xfId="16" applyNumberFormat="1" applyFont="1" applyAlignment="1">
      <alignment horizontal="center"/>
    </xf>
    <xf numFmtId="180" fontId="8" fillId="0" borderId="0" xfId="16" applyNumberFormat="1" applyFont="1" applyAlignment="1">
      <alignment horizontal="center"/>
    </xf>
    <xf numFmtId="181" fontId="8" fillId="0" borderId="0" xfId="15" applyNumberFormat="1" applyFont="1" applyAlignment="1">
      <alignment horizontal="center"/>
    </xf>
    <xf numFmtId="168" fontId="8" fillId="0" borderId="0" xfId="16" applyFont="1" applyAlignment="1">
      <alignment/>
    </xf>
    <xf numFmtId="4" fontId="8" fillId="0" borderId="0" xfId="16" applyNumberFormat="1" applyFont="1" applyAlignment="1">
      <alignment horizontal="center" vertical="center"/>
    </xf>
    <xf numFmtId="1" fontId="8" fillId="0" borderId="0" xfId="16" applyNumberFormat="1" applyFont="1" applyAlignment="1">
      <alignment horizontal="center"/>
    </xf>
    <xf numFmtId="9" fontId="8" fillId="0" borderId="0" xfId="2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180" fontId="4" fillId="0" borderId="64" xfId="16" applyNumberFormat="1" applyFont="1" applyBorder="1" applyAlignment="1">
      <alignment horizontal="center"/>
    </xf>
    <xf numFmtId="180" fontId="4" fillId="0" borderId="65" xfId="16" applyNumberFormat="1" applyFont="1" applyBorder="1" applyAlignment="1">
      <alignment horizontal="center"/>
    </xf>
    <xf numFmtId="180" fontId="4" fillId="0" borderId="66" xfId="16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80" fontId="8" fillId="0" borderId="29" xfId="16" applyNumberFormat="1" applyFont="1" applyBorder="1" applyAlignment="1">
      <alignment horizontal="center"/>
    </xf>
    <xf numFmtId="180" fontId="4" fillId="0" borderId="67" xfId="16" applyNumberFormat="1" applyFont="1" applyBorder="1" applyAlignment="1">
      <alignment horizontal="center"/>
    </xf>
    <xf numFmtId="180" fontId="4" fillId="0" borderId="68" xfId="16" applyNumberFormat="1" applyFont="1" applyBorder="1" applyAlignment="1">
      <alignment horizontal="center"/>
    </xf>
    <xf numFmtId="168" fontId="8" fillId="0" borderId="29" xfId="16" applyFont="1" applyBorder="1" applyAlignment="1">
      <alignment horizontal="center"/>
    </xf>
    <xf numFmtId="168" fontId="8" fillId="0" borderId="27" xfId="16" applyFont="1" applyBorder="1" applyAlignment="1">
      <alignment horizontal="center"/>
    </xf>
    <xf numFmtId="168" fontId="8" fillId="0" borderId="69" xfId="16" applyFont="1" applyBorder="1" applyAlignment="1">
      <alignment horizontal="center"/>
    </xf>
    <xf numFmtId="168" fontId="8" fillId="0" borderId="40" xfId="16" applyFont="1" applyBorder="1" applyAlignment="1">
      <alignment horizontal="center"/>
    </xf>
    <xf numFmtId="168" fontId="8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168" fontId="8" fillId="0" borderId="23" xfId="16" applyFont="1" applyBorder="1" applyAlignment="1">
      <alignment horizontal="center"/>
    </xf>
    <xf numFmtId="168" fontId="8" fillId="0" borderId="21" xfId="16" applyFont="1" applyBorder="1" applyAlignment="1">
      <alignment horizontal="center"/>
    </xf>
    <xf numFmtId="168" fontId="8" fillId="0" borderId="70" xfId="16" applyFont="1" applyBorder="1" applyAlignment="1">
      <alignment horizontal="center"/>
    </xf>
    <xf numFmtId="0" fontId="4" fillId="0" borderId="6" xfId="0" applyFont="1" applyBorder="1" applyAlignment="1">
      <alignment/>
    </xf>
    <xf numFmtId="168" fontId="8" fillId="0" borderId="20" xfId="16" applyFont="1" applyBorder="1" applyAlignment="1">
      <alignment horizontal="center"/>
    </xf>
    <xf numFmtId="168" fontId="8" fillId="0" borderId="71" xfId="16" applyFont="1" applyBorder="1" applyAlignment="1">
      <alignment horizontal="center"/>
    </xf>
    <xf numFmtId="0" fontId="4" fillId="0" borderId="72" xfId="0" applyFont="1" applyBorder="1" applyAlignment="1">
      <alignment/>
    </xf>
    <xf numFmtId="168" fontId="8" fillId="0" borderId="73" xfId="16" applyFont="1" applyBorder="1" applyAlignment="1">
      <alignment horizontal="center"/>
    </xf>
    <xf numFmtId="168" fontId="8" fillId="0" borderId="74" xfId="16" applyFont="1" applyBorder="1" applyAlignment="1">
      <alignment horizontal="center"/>
    </xf>
    <xf numFmtId="168" fontId="8" fillId="0" borderId="75" xfId="16" applyFont="1" applyBorder="1" applyAlignment="1">
      <alignment horizontal="center"/>
    </xf>
    <xf numFmtId="0" fontId="4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168" fontId="8" fillId="0" borderId="0" xfId="16" applyFont="1" applyBorder="1" applyAlignment="1">
      <alignment/>
    </xf>
    <xf numFmtId="168" fontId="8" fillId="0" borderId="0" xfId="16" applyFont="1" applyBorder="1" applyAlignment="1">
      <alignment horizontal="center"/>
    </xf>
    <xf numFmtId="172" fontId="4" fillId="0" borderId="0" xfId="16" applyNumberFormat="1" applyFont="1" applyAlignment="1">
      <alignment horizontal="center"/>
    </xf>
    <xf numFmtId="0" fontId="7" fillId="2" borderId="4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Continuous" vertical="center"/>
    </xf>
    <xf numFmtId="4" fontId="7" fillId="2" borderId="29" xfId="0" applyNumberFormat="1" applyFont="1" applyFill="1" applyBorder="1" applyAlignment="1">
      <alignment horizontal="centerContinuous"/>
    </xf>
    <xf numFmtId="4" fontId="7" fillId="2" borderId="46" xfId="0" applyNumberFormat="1" applyFont="1" applyFill="1" applyBorder="1" applyAlignment="1">
      <alignment horizontal="centerContinuous" vertical="center"/>
    </xf>
    <xf numFmtId="4" fontId="7" fillId="2" borderId="47" xfId="0" applyNumberFormat="1" applyFont="1" applyFill="1" applyBorder="1" applyAlignment="1">
      <alignment horizontal="centerContinuous"/>
    </xf>
    <xf numFmtId="4" fontId="5" fillId="2" borderId="46" xfId="16" applyNumberFormat="1" applyFont="1" applyFill="1" applyBorder="1" applyAlignment="1">
      <alignment horizontal="centerContinuous" vertical="center"/>
    </xf>
    <xf numFmtId="4" fontId="7" fillId="2" borderId="47" xfId="0" applyNumberFormat="1" applyFont="1" applyFill="1" applyBorder="1" applyAlignment="1">
      <alignment horizontal="centerContinuous" vertical="center"/>
    </xf>
    <xf numFmtId="4" fontId="7" fillId="2" borderId="63" xfId="0" applyNumberFormat="1" applyFont="1" applyFill="1" applyBorder="1" applyAlignment="1">
      <alignment horizontal="centerContinuous"/>
    </xf>
    <xf numFmtId="0" fontId="4" fillId="0" borderId="76" xfId="0" applyFont="1" applyBorder="1" applyAlignment="1">
      <alignment/>
    </xf>
    <xf numFmtId="4" fontId="7" fillId="2" borderId="77" xfId="0" applyNumberFormat="1" applyFont="1" applyFill="1" applyBorder="1" applyAlignment="1">
      <alignment horizontal="centerContinuous" vertical="center"/>
    </xf>
    <xf numFmtId="4" fontId="7" fillId="0" borderId="78" xfId="0" applyNumberFormat="1" applyFont="1" applyFill="1" applyBorder="1" applyAlignment="1">
      <alignment horizontal="centerContinuous"/>
    </xf>
    <xf numFmtId="4" fontId="5" fillId="0" borderId="78" xfId="16" applyNumberFormat="1" applyFont="1" applyFill="1" applyBorder="1" applyAlignment="1">
      <alignment horizontal="centerContinuous" vertical="center"/>
    </xf>
    <xf numFmtId="4" fontId="7" fillId="0" borderId="78" xfId="0" applyNumberFormat="1" applyFont="1" applyFill="1" applyBorder="1" applyAlignment="1">
      <alignment horizontal="centerContinuous" vertical="center"/>
    </xf>
    <xf numFmtId="0" fontId="4" fillId="0" borderId="65" xfId="0" applyFont="1" applyBorder="1" applyAlignment="1">
      <alignment/>
    </xf>
    <xf numFmtId="176" fontId="4" fillId="0" borderId="65" xfId="15" applyFont="1" applyBorder="1" applyAlignment="1">
      <alignment vertical="center"/>
    </xf>
    <xf numFmtId="171" fontId="4" fillId="0" borderId="66" xfId="2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79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80" xfId="0" applyFont="1" applyFill="1" applyBorder="1" applyAlignment="1">
      <alignment/>
    </xf>
    <xf numFmtId="0" fontId="10" fillId="0" borderId="79" xfId="0" applyFont="1" applyFill="1" applyBorder="1" applyAlignment="1">
      <alignment horizontal="center"/>
    </xf>
    <xf numFmtId="175" fontId="5" fillId="0" borderId="2" xfId="18" applyNumberFormat="1" applyFont="1" applyBorder="1" applyAlignment="1">
      <alignment horizontal="center"/>
    </xf>
    <xf numFmtId="0" fontId="5" fillId="0" borderId="2" xfId="16" applyNumberFormat="1" applyFont="1" applyBorder="1" applyAlignment="1">
      <alignment horizontal="center" vertical="center"/>
    </xf>
    <xf numFmtId="3" fontId="5" fillId="0" borderId="2" xfId="16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/>
    </xf>
    <xf numFmtId="4" fontId="11" fillId="2" borderId="10" xfId="0" applyNumberFormat="1" applyFont="1" applyFill="1" applyBorder="1" applyAlignment="1">
      <alignment horizontal="centerContinuous" vertical="center"/>
    </xf>
    <xf numFmtId="4" fontId="11" fillId="2" borderId="5" xfId="0" applyNumberFormat="1" applyFont="1" applyFill="1" applyBorder="1" applyAlignment="1">
      <alignment horizontal="centerContinuous"/>
    </xf>
    <xf numFmtId="4" fontId="7" fillId="2" borderId="10" xfId="0" applyNumberFormat="1" applyFont="1" applyFill="1" applyBorder="1" applyAlignment="1">
      <alignment horizontal="centerContinuous" vertical="center"/>
    </xf>
    <xf numFmtId="4" fontId="7" fillId="2" borderId="5" xfId="0" applyNumberFormat="1" applyFont="1" applyFill="1" applyBorder="1" applyAlignment="1">
      <alignment horizontal="centerContinuous"/>
    </xf>
    <xf numFmtId="168" fontId="5" fillId="0" borderId="3" xfId="16" applyFont="1" applyBorder="1" applyAlignment="1">
      <alignment/>
    </xf>
    <xf numFmtId="4" fontId="5" fillId="0" borderId="2" xfId="16" applyNumberFormat="1" applyFont="1" applyBorder="1" applyAlignment="1">
      <alignment horizontal="center" vertical="center"/>
    </xf>
    <xf numFmtId="170" fontId="7" fillId="2" borderId="81" xfId="20" applyNumberFormat="1" applyFont="1" applyFill="1" applyBorder="1" applyAlignment="1">
      <alignment horizontal="center" vertical="center"/>
    </xf>
    <xf numFmtId="170" fontId="7" fillId="2" borderId="82" xfId="20" applyNumberFormat="1" applyFont="1" applyFill="1" applyBorder="1" applyAlignment="1">
      <alignment horizontal="center" vertical="center"/>
    </xf>
    <xf numFmtId="170" fontId="7" fillId="2" borderId="83" xfId="20" applyNumberFormat="1" applyFont="1" applyFill="1" applyBorder="1" applyAlignment="1">
      <alignment horizontal="center" vertical="center"/>
    </xf>
    <xf numFmtId="170" fontId="7" fillId="2" borderId="26" xfId="20" applyNumberFormat="1" applyFont="1" applyFill="1" applyBorder="1" applyAlignment="1">
      <alignment horizontal="center" vertical="center"/>
    </xf>
    <xf numFmtId="170" fontId="7" fillId="2" borderId="84" xfId="20" applyNumberFormat="1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3" sqref="C3"/>
    </sheetView>
  </sheetViews>
  <sheetFormatPr defaultColWidth="11.421875" defaultRowHeight="12.75"/>
  <sheetData>
    <row r="1" spans="1:3" ht="12.75">
      <c r="A1" t="s">
        <v>128</v>
      </c>
      <c r="C1" s="127">
        <v>0.15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&amp;CCas Muyne (Auteur du corrigé : Jean-François Gueugnon)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N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65.28125" style="1" customWidth="1"/>
    <col min="2" max="2" width="12.8515625" style="1" bestFit="1" customWidth="1"/>
    <col min="3" max="16384" width="11.421875" style="1" customWidth="1"/>
  </cols>
  <sheetData>
    <row r="1" spans="1:2" ht="17.25" thickBot="1" thickTop="1">
      <c r="A1" s="12" t="s">
        <v>0</v>
      </c>
      <c r="B1" s="8" t="s">
        <v>1</v>
      </c>
    </row>
    <row r="2" spans="1:2" ht="13.5" thickTop="1">
      <c r="A2" s="2" t="s">
        <v>2</v>
      </c>
      <c r="B2" s="199">
        <v>460000</v>
      </c>
    </row>
    <row r="3" spans="1:2" ht="12.75">
      <c r="A3" s="2" t="s">
        <v>139</v>
      </c>
      <c r="B3" s="200">
        <v>5</v>
      </c>
    </row>
    <row r="4" spans="1:2" ht="12.75">
      <c r="A4" s="2" t="s">
        <v>138</v>
      </c>
      <c r="B4" s="3">
        <v>4</v>
      </c>
    </row>
    <row r="5" spans="1:2" ht="12.75">
      <c r="A5" s="2" t="s">
        <v>141</v>
      </c>
      <c r="B5" s="3">
        <v>2</v>
      </c>
    </row>
    <row r="6" spans="1:2" ht="13.5" thickBot="1">
      <c r="A6" s="2" t="s">
        <v>3</v>
      </c>
      <c r="B6" s="199">
        <v>30000</v>
      </c>
    </row>
    <row r="7" spans="1:2" ht="13.5" thickBot="1">
      <c r="A7" s="124" t="s">
        <v>116</v>
      </c>
      <c r="B7" s="125"/>
    </row>
    <row r="8" spans="1:2" ht="12.75">
      <c r="A8" s="2" t="s">
        <v>117</v>
      </c>
      <c r="B8" s="126">
        <v>0</v>
      </c>
    </row>
    <row r="9" spans="1:2" ht="12.75">
      <c r="A9" s="2" t="s">
        <v>118</v>
      </c>
      <c r="B9" s="126">
        <v>0.6</v>
      </c>
    </row>
    <row r="10" spans="1:2" ht="13.5" thickBot="1">
      <c r="A10" s="2" t="s">
        <v>119</v>
      </c>
      <c r="B10" s="126">
        <v>0.4</v>
      </c>
    </row>
    <row r="11" spans="1:2" ht="13.5" thickBot="1">
      <c r="A11" s="9" t="s">
        <v>4</v>
      </c>
      <c r="B11" s="11"/>
    </row>
    <row r="12" spans="1:2" ht="12.75">
      <c r="A12" s="2" t="s">
        <v>5</v>
      </c>
      <c r="B12" s="201">
        <v>20000</v>
      </c>
    </row>
    <row r="13" spans="1:2" ht="12.75">
      <c r="A13" s="2" t="s">
        <v>142</v>
      </c>
      <c r="B13" s="208">
        <v>40</v>
      </c>
    </row>
    <row r="14" spans="1:2" ht="12.75">
      <c r="A14" s="2" t="s">
        <v>143</v>
      </c>
      <c r="B14" s="208">
        <v>24.6</v>
      </c>
    </row>
    <row r="15" spans="1:2" ht="13.5" thickBot="1">
      <c r="A15" s="2" t="s">
        <v>144</v>
      </c>
      <c r="B15" s="208">
        <v>6.2</v>
      </c>
    </row>
    <row r="16" spans="1:2" ht="13.5" thickBot="1">
      <c r="A16" s="9" t="s">
        <v>6</v>
      </c>
      <c r="B16" s="10"/>
    </row>
    <row r="17" spans="1:2" ht="12.75">
      <c r="A17" s="2" t="s">
        <v>7</v>
      </c>
      <c r="B17" s="13">
        <v>0.45</v>
      </c>
    </row>
    <row r="18" spans="1:2" ht="12.75">
      <c r="A18" s="2" t="s">
        <v>8</v>
      </c>
      <c r="B18" s="13">
        <f>B17</f>
        <v>0.45</v>
      </c>
    </row>
    <row r="19" spans="1:2" ht="13.5" thickBot="1">
      <c r="A19" s="2" t="s">
        <v>9</v>
      </c>
      <c r="B19" s="13">
        <f>0.18</f>
        <v>0.18</v>
      </c>
    </row>
    <row r="20" spans="1:2" ht="13.5" thickBot="1">
      <c r="A20" s="9" t="s">
        <v>10</v>
      </c>
      <c r="B20" s="10"/>
    </row>
    <row r="21" spans="1:2" ht="12.75">
      <c r="A21" s="2" t="s">
        <v>11</v>
      </c>
      <c r="B21" s="13">
        <v>0.045</v>
      </c>
    </row>
    <row r="22" spans="1:2" ht="12.75">
      <c r="A22" s="2" t="s">
        <v>12</v>
      </c>
      <c r="B22" s="13">
        <v>0.04</v>
      </c>
    </row>
    <row r="23" spans="1:5" s="5" customFormat="1" ht="13.5" thickBot="1">
      <c r="A23" s="6" t="s">
        <v>13</v>
      </c>
      <c r="B23" s="7">
        <f>((1+Paramètres!B22)^(1/365))-1</f>
        <v>0.00010745978202786333</v>
      </c>
      <c r="D23" s="4"/>
      <c r="E23" s="1"/>
    </row>
    <row r="24" spans="2:3" s="5" customFormat="1" ht="13.5" thickTop="1">
      <c r="B24" s="4"/>
      <c r="C2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&amp;CCas Muyne (Auteur du corrigé : Jean-François Gueugnon)</oddHeader>
    <oddFooter>&amp;CParamètres du projet d'investissement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9" sqref="B19"/>
    </sheetView>
  </sheetViews>
  <sheetFormatPr defaultColWidth="11.421875" defaultRowHeight="12.75"/>
  <cols>
    <col min="1" max="1" width="13.00390625" style="1" customWidth="1"/>
    <col min="2" max="2" width="18.7109375" style="1" customWidth="1"/>
    <col min="3" max="3" width="21.140625" style="1" customWidth="1"/>
    <col min="4" max="4" width="20.7109375" style="1" customWidth="1"/>
    <col min="5" max="5" width="11.421875" style="1" customWidth="1"/>
    <col min="6" max="6" width="11.8515625" style="1" customWidth="1"/>
    <col min="7" max="16384" width="11.421875" style="1" customWidth="1"/>
  </cols>
  <sheetData>
    <row r="1" spans="1:4" ht="14.25" thickBot="1" thickTop="1">
      <c r="A1" s="14" t="s">
        <v>14</v>
      </c>
      <c r="B1" s="15"/>
      <c r="C1" s="15"/>
      <c r="D1" s="16"/>
    </row>
    <row r="2" spans="1:4" s="5" customFormat="1" ht="13.5" thickTop="1">
      <c r="A2" s="17" t="s">
        <v>15</v>
      </c>
      <c r="B2" s="18" t="s">
        <v>16</v>
      </c>
      <c r="C2" s="18" t="s">
        <v>17</v>
      </c>
      <c r="D2" s="18" t="s">
        <v>18</v>
      </c>
    </row>
    <row r="3" spans="1:4" s="5" customFormat="1" ht="13.5" thickBot="1">
      <c r="A3" s="19"/>
      <c r="B3" s="20" t="s">
        <v>19</v>
      </c>
      <c r="C3" s="20" t="s">
        <v>20</v>
      </c>
      <c r="D3" s="20" t="s">
        <v>21</v>
      </c>
    </row>
    <row r="4" spans="1:4" ht="12.75">
      <c r="A4" s="21">
        <v>1</v>
      </c>
      <c r="B4" s="22">
        <f>Paramètres!B2</f>
        <v>460000</v>
      </c>
      <c r="C4" s="104">
        <f>SLN(Paramètres!$B$2,0,Paramètres!$B$4)</f>
        <v>115000</v>
      </c>
      <c r="D4" s="104">
        <f>B4-C4</f>
        <v>345000</v>
      </c>
    </row>
    <row r="5" spans="1:4" ht="12.75">
      <c r="A5" s="21">
        <v>2</v>
      </c>
      <c r="B5" s="22">
        <f>D4</f>
        <v>345000</v>
      </c>
      <c r="C5" s="104">
        <f>SLN(Paramètres!$B$2,0,Paramètres!$B$4)</f>
        <v>115000</v>
      </c>
      <c r="D5" s="104">
        <f>B5-C5</f>
        <v>230000</v>
      </c>
    </row>
    <row r="6" spans="1:4" ht="12.75">
      <c r="A6" s="21">
        <v>3</v>
      </c>
      <c r="B6" s="22">
        <f>D5</f>
        <v>230000</v>
      </c>
      <c r="C6" s="104">
        <f>SLN(Paramètres!$B$2,0,Paramètres!$B$4)</f>
        <v>115000</v>
      </c>
      <c r="D6" s="104">
        <f>B6-C6</f>
        <v>115000</v>
      </c>
    </row>
    <row r="7" spans="1:4" ht="13.5" thickBot="1">
      <c r="A7" s="23">
        <v>4</v>
      </c>
      <c r="B7" s="24">
        <f>D6</f>
        <v>115000</v>
      </c>
      <c r="C7" s="105">
        <f>SLN(Paramètres!$B$2,0,Paramètres!$B$4)</f>
        <v>115000</v>
      </c>
      <c r="D7" s="105">
        <f>B7-C7</f>
        <v>0</v>
      </c>
    </row>
    <row r="8" ht="14.25" thickBot="1" thickTop="1"/>
    <row r="9" spans="1:4" ht="14.25" thickBot="1" thickTop="1">
      <c r="A9" s="14" t="s">
        <v>22</v>
      </c>
      <c r="B9" s="15"/>
      <c r="C9" s="15"/>
      <c r="D9" s="16"/>
    </row>
    <row r="10" spans="1:4" s="5" customFormat="1" ht="13.5" thickTop="1">
      <c r="A10" s="17" t="s">
        <v>15</v>
      </c>
      <c r="B10" s="18" t="s">
        <v>16</v>
      </c>
      <c r="C10" s="18" t="s">
        <v>17</v>
      </c>
      <c r="D10" s="18" t="s">
        <v>18</v>
      </c>
    </row>
    <row r="11" spans="1:4" s="5" customFormat="1" ht="13.5" thickBot="1">
      <c r="A11" s="19"/>
      <c r="B11" s="20" t="s">
        <v>19</v>
      </c>
      <c r="C11" s="20" t="s">
        <v>20</v>
      </c>
      <c r="D11" s="20" t="s">
        <v>21</v>
      </c>
    </row>
    <row r="12" spans="1:6" ht="12.75">
      <c r="A12" s="21">
        <v>1</v>
      </c>
      <c r="B12" s="22">
        <f>Paramètres!B2</f>
        <v>460000</v>
      </c>
      <c r="C12" s="103">
        <f>VDB(Paramètres!$B$2,0,Paramètres!$B$4,A12-1,A12,Paramètres!$B$5,FALSE)</f>
        <v>230000</v>
      </c>
      <c r="D12" s="104">
        <f>B12-C12</f>
        <v>230000</v>
      </c>
      <c r="E12" s="25"/>
      <c r="F12" s="25"/>
    </row>
    <row r="13" spans="1:6" ht="12.75">
      <c r="A13" s="21">
        <v>2</v>
      </c>
      <c r="B13" s="22">
        <f>D12</f>
        <v>230000</v>
      </c>
      <c r="C13" s="103">
        <f>VDB(Paramètres!$B$2,0,Paramètres!$B$4,A13-1,A13,Paramètres!$B$5,FALSE)</f>
        <v>115000</v>
      </c>
      <c r="D13" s="104">
        <f>B13-C13</f>
        <v>115000</v>
      </c>
      <c r="F13" s="25"/>
    </row>
    <row r="14" spans="1:6" ht="12.75">
      <c r="A14" s="21">
        <v>3</v>
      </c>
      <c r="B14" s="22">
        <f>D13</f>
        <v>115000</v>
      </c>
      <c r="C14" s="103">
        <f>VDB(Paramètres!$B$2,0,Paramètres!$B$4,A14-1,A14,Paramètres!$B$5,FALSE)</f>
        <v>57500</v>
      </c>
      <c r="D14" s="104">
        <f>B14-C14</f>
        <v>57500</v>
      </c>
      <c r="F14" s="25"/>
    </row>
    <row r="15" spans="1:6" ht="13.5" thickBot="1">
      <c r="A15" s="23">
        <v>4</v>
      </c>
      <c r="B15" s="24">
        <f>D14</f>
        <v>57500</v>
      </c>
      <c r="C15" s="207">
        <f>VDB(Paramètres!$B$2,0,Paramètres!$B$4,A15-1,A15,Paramètres!$B$5,FALSE)</f>
        <v>57500</v>
      </c>
      <c r="D15" s="105">
        <f>B15-C15</f>
        <v>0</v>
      </c>
      <c r="F15" s="25"/>
    </row>
    <row r="16" ht="13.5" thickTop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&amp;CCas Muyne (Auteur du corrigé : Jean-François Gueugnon)</oddHeader>
    <oddFooter>&amp;CTableaux d'amortissement de l'équipement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3" sqref="H3:H11"/>
    </sheetView>
  </sheetViews>
  <sheetFormatPr defaultColWidth="11.421875" defaultRowHeight="12.75"/>
  <cols>
    <col min="1" max="1" width="27.140625" style="5" bestFit="1" customWidth="1"/>
    <col min="2" max="2" width="6.57421875" style="5" bestFit="1" customWidth="1"/>
    <col min="3" max="3" width="9.421875" style="5" customWidth="1"/>
    <col min="4" max="4" width="14.140625" style="5" customWidth="1"/>
    <col min="5" max="5" width="14.28125" style="5" customWidth="1"/>
    <col min="6" max="6" width="26.8515625" style="5" bestFit="1" customWidth="1"/>
    <col min="7" max="7" width="19.140625" style="5" bestFit="1" customWidth="1"/>
    <col min="8" max="8" width="23.00390625" style="5" bestFit="1" customWidth="1"/>
    <col min="9" max="9" width="44.28125" style="5" customWidth="1"/>
    <col min="10" max="10" width="45.28125" style="5" customWidth="1"/>
    <col min="11" max="16384" width="11.421875" style="5" customWidth="1"/>
  </cols>
  <sheetData>
    <row r="1" spans="1:8" ht="14.25" thickBot="1" thickTop="1">
      <c r="A1" s="99" t="s">
        <v>23</v>
      </c>
      <c r="B1" s="100" t="s">
        <v>24</v>
      </c>
      <c r="C1" s="100" t="s">
        <v>25</v>
      </c>
      <c r="D1" s="100" t="s">
        <v>26</v>
      </c>
      <c r="E1" s="100" t="s">
        <v>27</v>
      </c>
      <c r="F1" s="101" t="s">
        <v>70</v>
      </c>
      <c r="G1" s="100" t="s">
        <v>69</v>
      </c>
      <c r="H1" s="102" t="s">
        <v>68</v>
      </c>
    </row>
    <row r="2" spans="1:8" ht="12.75">
      <c r="A2" s="88" t="s">
        <v>28</v>
      </c>
      <c r="B2" s="98">
        <v>235.1</v>
      </c>
      <c r="C2" s="26"/>
      <c r="D2" s="114">
        <v>470.2</v>
      </c>
      <c r="E2" s="91"/>
      <c r="F2" s="92"/>
      <c r="G2" s="90"/>
      <c r="H2" s="27"/>
    </row>
    <row r="3" spans="1:8" ht="12.75">
      <c r="A3" s="88" t="s">
        <v>29</v>
      </c>
      <c r="B3" s="98">
        <v>234.7</v>
      </c>
      <c r="C3" s="26"/>
      <c r="D3" s="114">
        <v>469.3</v>
      </c>
      <c r="E3" s="91">
        <f>((B3-B2)+C3)/B2</f>
        <v>-0.0017014036580178889</v>
      </c>
      <c r="F3" s="115">
        <f>(D3-D2)/D2</f>
        <v>-0.0019140791152700495</v>
      </c>
      <c r="G3" s="93">
        <f>E3-Paramètres!$B$23</f>
        <v>-0.0018088634400457522</v>
      </c>
      <c r="H3" s="94">
        <f>F3-Paramètres!$B$23</f>
        <v>-0.002021538897297913</v>
      </c>
    </row>
    <row r="4" spans="1:8" ht="12.75">
      <c r="A4" s="88" t="s">
        <v>30</v>
      </c>
      <c r="B4" s="98">
        <v>233.9</v>
      </c>
      <c r="C4" s="26"/>
      <c r="D4" s="114">
        <v>467.7</v>
      </c>
      <c r="E4" s="91">
        <f aca="true" t="shared" si="0" ref="E4:E11">((B4-B3)+C4)/B3</f>
        <v>-0.003408606731998223</v>
      </c>
      <c r="F4" s="115">
        <f aca="true" t="shared" si="1" ref="F4:F11">(D4-D3)/D3</f>
        <v>-0.0034093330492222943</v>
      </c>
      <c r="G4" s="93">
        <f>E4-Paramètres!$B$23</f>
        <v>-0.0035160665140260864</v>
      </c>
      <c r="H4" s="94">
        <f>F4-Paramètres!$B$23</f>
        <v>-0.0035167928312501576</v>
      </c>
    </row>
    <row r="5" spans="1:8" ht="12.75">
      <c r="A5" s="88" t="s">
        <v>31</v>
      </c>
      <c r="B5" s="98">
        <v>234.1</v>
      </c>
      <c r="C5" s="26"/>
      <c r="D5" s="114">
        <v>468</v>
      </c>
      <c r="E5" s="91">
        <f t="shared" si="0"/>
        <v>0.0008550662676356932</v>
      </c>
      <c r="F5" s="115">
        <f t="shared" si="1"/>
        <v>0.0006414368184734047</v>
      </c>
      <c r="G5" s="93">
        <f>E5-Paramètres!$B$23</f>
        <v>0.0007476064856078298</v>
      </c>
      <c r="H5" s="94">
        <f>F5-Paramètres!$B$23</f>
        <v>0.0005339770364455414</v>
      </c>
    </row>
    <row r="6" spans="1:8" ht="12.75">
      <c r="A6" s="88" t="s">
        <v>32</v>
      </c>
      <c r="B6" s="98">
        <v>235</v>
      </c>
      <c r="C6" s="98"/>
      <c r="D6" s="114">
        <v>470.4</v>
      </c>
      <c r="E6" s="91">
        <f t="shared" si="0"/>
        <v>0.003844510892780887</v>
      </c>
      <c r="F6" s="115">
        <f t="shared" si="1"/>
        <v>0.00512820512820508</v>
      </c>
      <c r="G6" s="93">
        <f>E6-Paramètres!$B$23</f>
        <v>0.003737051110753024</v>
      </c>
      <c r="H6" s="94">
        <f>F6-Paramètres!$B$23</f>
        <v>0.005020745346177216</v>
      </c>
    </row>
    <row r="7" spans="1:8" ht="12.75">
      <c r="A7" s="88" t="s">
        <v>33</v>
      </c>
      <c r="B7" s="98">
        <v>211.5</v>
      </c>
      <c r="C7" s="98">
        <v>23</v>
      </c>
      <c r="D7" s="114">
        <v>468.8</v>
      </c>
      <c r="E7" s="91">
        <f t="shared" si="0"/>
        <v>-0.002127659574468085</v>
      </c>
      <c r="F7" s="115">
        <f t="shared" si="1"/>
        <v>-0.0034013605442176145</v>
      </c>
      <c r="G7" s="93">
        <f>E7-Paramètres!$B$23</f>
        <v>-0.0022351193564959485</v>
      </c>
      <c r="H7" s="94">
        <f>F7-Paramètres!$B$23</f>
        <v>-0.003508820326245478</v>
      </c>
    </row>
    <row r="8" spans="1:8" ht="12.75">
      <c r="A8" s="88" t="s">
        <v>34</v>
      </c>
      <c r="B8" s="98">
        <v>210.9</v>
      </c>
      <c r="C8" s="26"/>
      <c r="D8" s="114">
        <v>467.9</v>
      </c>
      <c r="E8" s="91">
        <f t="shared" si="0"/>
        <v>-0.0028368794326240868</v>
      </c>
      <c r="F8" s="115">
        <f t="shared" si="1"/>
        <v>-0.0019197952218430762</v>
      </c>
      <c r="G8" s="93">
        <f>E8-Paramètres!$B$23</f>
        <v>-0.00294433921465195</v>
      </c>
      <c r="H8" s="94">
        <f>F8-Paramètres!$B$23</f>
        <v>-0.0020272550038709395</v>
      </c>
    </row>
    <row r="9" spans="1:8" ht="12.75">
      <c r="A9" s="88" t="s">
        <v>35</v>
      </c>
      <c r="B9" s="98">
        <v>211.5</v>
      </c>
      <c r="C9" s="26"/>
      <c r="D9" s="114">
        <v>469.6</v>
      </c>
      <c r="E9" s="91">
        <f t="shared" si="0"/>
        <v>0.002844950213371239</v>
      </c>
      <c r="F9" s="115">
        <f t="shared" si="1"/>
        <v>0.0036332549690105695</v>
      </c>
      <c r="G9" s="93">
        <f>E9-Paramètres!$B$23</f>
        <v>0.0027374904313433755</v>
      </c>
      <c r="H9" s="94">
        <f>F9-Paramètres!$B$23</f>
        <v>0.003525795186982706</v>
      </c>
    </row>
    <row r="10" spans="1:8" ht="12.75">
      <c r="A10" s="88" t="s">
        <v>36</v>
      </c>
      <c r="B10" s="98">
        <v>211.8</v>
      </c>
      <c r="C10" s="26"/>
      <c r="D10" s="114">
        <v>470.9</v>
      </c>
      <c r="E10" s="91">
        <f t="shared" si="0"/>
        <v>0.0014184397163121104</v>
      </c>
      <c r="F10" s="115">
        <f t="shared" si="1"/>
        <v>0.0027683134582622538</v>
      </c>
      <c r="G10" s="93">
        <f>E10-Paramètres!$B$23</f>
        <v>0.001310979934284247</v>
      </c>
      <c r="H10" s="94">
        <f>F10-Paramètres!$B$23</f>
        <v>0.0026608536762343904</v>
      </c>
    </row>
    <row r="11" spans="1:8" ht="13.5" thickBot="1">
      <c r="A11" s="89" t="s">
        <v>37</v>
      </c>
      <c r="B11" s="98">
        <v>213</v>
      </c>
      <c r="C11" s="28"/>
      <c r="D11" s="114">
        <v>472</v>
      </c>
      <c r="E11" s="95">
        <f t="shared" si="0"/>
        <v>0.005665722379603345</v>
      </c>
      <c r="F11" s="115">
        <f t="shared" si="1"/>
        <v>0.0023359524315141704</v>
      </c>
      <c r="G11" s="96">
        <f>E11-Paramètres!$B$23</f>
        <v>0.005558262597575482</v>
      </c>
      <c r="H11" s="97">
        <f>F11-Paramètres!$B$23</f>
        <v>0.002228492649486307</v>
      </c>
    </row>
    <row r="12" spans="1:8" ht="13.5" thickBot="1">
      <c r="A12" s="107" t="s">
        <v>38</v>
      </c>
      <c r="B12" s="108"/>
      <c r="C12" s="108"/>
      <c r="D12" s="108"/>
      <c r="E12" s="109">
        <f>AVERAGE(E3:E11)</f>
        <v>0.0005060155636216657</v>
      </c>
      <c r="F12" s="110">
        <f>AVERAGE(F3:F11)</f>
        <v>0.0004291772083236049</v>
      </c>
      <c r="G12" s="111">
        <f>AVERAGE(G3:G11)</f>
        <v>0.00039855578159380225</v>
      </c>
      <c r="H12" s="112">
        <f>AVERAGE(H3:H11)</f>
        <v>0.00032171742629574156</v>
      </c>
    </row>
    <row r="13" spans="1:8" ht="13.5" thickTop="1">
      <c r="A13" s="116"/>
      <c r="B13" s="117"/>
      <c r="C13" s="117"/>
      <c r="D13" s="117"/>
      <c r="E13" s="118"/>
      <c r="F13" s="118"/>
      <c r="G13" s="118"/>
      <c r="H13" s="118"/>
    </row>
    <row r="14" spans="1:8" ht="12.75">
      <c r="A14" s="116"/>
      <c r="B14" s="117"/>
      <c r="C14" s="117"/>
      <c r="D14" s="117"/>
      <c r="E14" s="118"/>
      <c r="F14" s="118"/>
      <c r="G14" s="118"/>
      <c r="H14" s="118"/>
    </row>
    <row r="16" ht="15.75">
      <c r="A16" s="113" t="s">
        <v>120</v>
      </c>
    </row>
    <row r="18" ht="12.75">
      <c r="G18" s="106"/>
    </row>
    <row r="19" spans="1:3" ht="12.75">
      <c r="A19" s="5" t="s">
        <v>71</v>
      </c>
      <c r="B19" s="5" t="s">
        <v>73</v>
      </c>
      <c r="C19" s="5" t="s">
        <v>72</v>
      </c>
    </row>
    <row r="20" spans="1:3" ht="12.75">
      <c r="A20" s="5">
        <f>LINEST(G3:G11,H3:H11,TRUE,TRUE)</f>
        <v>0.8956618191573892</v>
      </c>
      <c r="B20" s="5">
        <f>CORREL(G3:G11,H3:H11)</f>
        <v>0.8924743167774122</v>
      </c>
      <c r="C20" s="5">
        <f>RSQ(H3:H11,G3:G11)</f>
        <v>0.7965104061073088</v>
      </c>
    </row>
    <row r="24" spans="1:8" ht="15.75">
      <c r="A24" s="113" t="s">
        <v>12</v>
      </c>
      <c r="H24" s="120">
        <f>Paramètres!B22</f>
        <v>0.04</v>
      </c>
    </row>
    <row r="25" ht="12.75">
      <c r="H25" s="120"/>
    </row>
    <row r="26" spans="1:8" ht="15.75">
      <c r="A26" s="113" t="s">
        <v>96</v>
      </c>
      <c r="F26" s="119" t="s">
        <v>95</v>
      </c>
      <c r="H26" s="122">
        <f>((1+F12)^365)-1</f>
        <v>0.16954651003872323</v>
      </c>
    </row>
    <row r="27" ht="12.75">
      <c r="H27" s="120"/>
    </row>
    <row r="28" spans="1:8" ht="15.75">
      <c r="A28" s="113" t="s">
        <v>97</v>
      </c>
      <c r="F28" s="121" t="s">
        <v>98</v>
      </c>
      <c r="H28" s="122">
        <f>Paramètres!B22+'Fonds propres'!A20*('Fonds propres'!H26-Paramètres!B22)</f>
        <v>0.1560298628467738</v>
      </c>
    </row>
    <row r="30" spans="1:8" ht="15.75">
      <c r="A30" s="113" t="s">
        <v>132</v>
      </c>
      <c r="H30" s="129">
        <f>H28</f>
        <v>0.1560298628467738</v>
      </c>
    </row>
    <row r="32" ht="15.75">
      <c r="A32" s="113" t="s">
        <v>135</v>
      </c>
    </row>
    <row r="33" ht="12.75">
      <c r="A33" s="194" t="s">
        <v>133</v>
      </c>
    </row>
    <row r="34" ht="12.75">
      <c r="A34" s="194" t="s">
        <v>134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&amp;CCas Muyne (Auteur du corrigé : Jean-François Gueugnon)</oddHeader>
    <oddFooter>&amp;CDétermination des taux de rentabilité quotidiens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3" sqref="A23"/>
    </sheetView>
  </sheetViews>
  <sheetFormatPr defaultColWidth="11.421875" defaultRowHeight="12.75"/>
  <cols>
    <col min="1" max="1" width="29.28125" style="1" bestFit="1" customWidth="1"/>
    <col min="2" max="2" width="14.140625" style="1" bestFit="1" customWidth="1"/>
    <col min="3" max="3" width="15.28125" style="1" bestFit="1" customWidth="1"/>
    <col min="4" max="4" width="17.140625" style="1" bestFit="1" customWidth="1"/>
    <col min="5" max="5" width="10.57421875" style="1" bestFit="1" customWidth="1"/>
    <col min="6" max="6" width="39.421875" style="1" bestFit="1" customWidth="1"/>
    <col min="7" max="7" width="40.140625" style="1" bestFit="1" customWidth="1"/>
    <col min="8" max="8" width="43.421875" style="1" bestFit="1" customWidth="1"/>
    <col min="9" max="9" width="44.421875" style="1" bestFit="1" customWidth="1"/>
    <col min="10" max="16384" width="11.421875" style="1" customWidth="1"/>
  </cols>
  <sheetData>
    <row r="1" ht="12.75">
      <c r="A1" s="123" t="s">
        <v>74</v>
      </c>
    </row>
    <row r="2" ht="13.5" thickBot="1"/>
    <row r="3" spans="1:2" ht="12.75">
      <c r="A3" s="195" t="s">
        <v>75</v>
      </c>
      <c r="B3" s="195"/>
    </row>
    <row r="4" spans="1:2" ht="12.75">
      <c r="A4" s="196" t="s">
        <v>76</v>
      </c>
      <c r="B4" s="196">
        <v>0.8924743167774122</v>
      </c>
    </row>
    <row r="5" spans="1:2" ht="12.75">
      <c r="A5" s="196" t="s">
        <v>77</v>
      </c>
      <c r="B5" s="196">
        <v>0.7965104061073087</v>
      </c>
    </row>
    <row r="6" spans="1:2" ht="12.75">
      <c r="A6" s="196" t="s">
        <v>77</v>
      </c>
      <c r="B6" s="196">
        <v>0.7674404641226386</v>
      </c>
    </row>
    <row r="7" spans="1:2" ht="12.75">
      <c r="A7" s="196" t="s">
        <v>78</v>
      </c>
      <c r="B7" s="196">
        <v>0.001548646721693551</v>
      </c>
    </row>
    <row r="8" spans="1:2" ht="13.5" thickBot="1">
      <c r="A8" s="197" t="s">
        <v>79</v>
      </c>
      <c r="B8" s="197">
        <v>9</v>
      </c>
    </row>
    <row r="9" spans="1:2" ht="12.75">
      <c r="A9" s="196"/>
      <c r="B9" s="196"/>
    </row>
    <row r="10" spans="1:2" ht="12.75">
      <c r="A10" s="196"/>
      <c r="B10" s="196"/>
    </row>
    <row r="12" ht="13.5" thickBot="1">
      <c r="A12" s="123" t="s">
        <v>80</v>
      </c>
    </row>
    <row r="13" spans="1:6" ht="12.75">
      <c r="A13" s="198"/>
      <c r="B13" s="198" t="s">
        <v>85</v>
      </c>
      <c r="C13" s="198" t="s">
        <v>86</v>
      </c>
      <c r="D13" s="198" t="s">
        <v>87</v>
      </c>
      <c r="E13" s="198" t="s">
        <v>88</v>
      </c>
      <c r="F13" s="198" t="s">
        <v>89</v>
      </c>
    </row>
    <row r="14" spans="1:6" ht="12.75">
      <c r="A14" s="196" t="s">
        <v>81</v>
      </c>
      <c r="B14" s="196">
        <v>1</v>
      </c>
      <c r="C14" s="196">
        <v>6.571310735995023E-05</v>
      </c>
      <c r="D14" s="196">
        <v>6.571310735995023E-05</v>
      </c>
      <c r="E14" s="196">
        <v>27.399793454260852</v>
      </c>
      <c r="F14" s="196">
        <v>0.0012065165140598163</v>
      </c>
    </row>
    <row r="15" spans="1:6" ht="12.75">
      <c r="A15" s="196" t="s">
        <v>82</v>
      </c>
      <c r="B15" s="196">
        <v>7</v>
      </c>
      <c r="C15" s="196">
        <v>1.6788146680285277E-05</v>
      </c>
      <c r="D15" s="196">
        <v>2.3983066686121825E-06</v>
      </c>
      <c r="E15" s="196"/>
      <c r="F15" s="196"/>
    </row>
    <row r="16" spans="1:6" ht="13.5" thickBot="1">
      <c r="A16" s="197" t="s">
        <v>83</v>
      </c>
      <c r="B16" s="197">
        <v>8</v>
      </c>
      <c r="C16" s="197">
        <v>8.25012540402355E-05</v>
      </c>
      <c r="D16" s="197"/>
      <c r="E16" s="197"/>
      <c r="F16" s="197"/>
    </row>
    <row r="17" spans="1:6" ht="12.75">
      <c r="A17" s="196"/>
      <c r="B17" s="196"/>
      <c r="C17" s="196"/>
      <c r="D17" s="196"/>
      <c r="E17" s="196"/>
      <c r="F17" s="196"/>
    </row>
    <row r="18" spans="1:6" ht="12.75">
      <c r="A18" s="196"/>
      <c r="B18" s="196"/>
      <c r="C18" s="196"/>
      <c r="D18" s="196"/>
      <c r="E18" s="196"/>
      <c r="F18" s="196"/>
    </row>
    <row r="19" spans="1:6" ht="12.75">
      <c r="A19" s="196"/>
      <c r="B19" s="196"/>
      <c r="C19" s="196"/>
      <c r="D19" s="196"/>
      <c r="E19" s="196"/>
      <c r="F19" s="196"/>
    </row>
    <row r="20" ht="13.5" thickBot="1">
      <c r="A20" s="123" t="s">
        <v>136</v>
      </c>
    </row>
    <row r="21" spans="1:7" ht="12.75">
      <c r="A21" s="198"/>
      <c r="B21" s="198" t="s">
        <v>90</v>
      </c>
      <c r="C21" s="198" t="s">
        <v>78</v>
      </c>
      <c r="D21" s="198" t="s">
        <v>91</v>
      </c>
      <c r="E21" s="198" t="s">
        <v>92</v>
      </c>
      <c r="F21" s="198" t="s">
        <v>93</v>
      </c>
      <c r="G21" s="198" t="s">
        <v>94</v>
      </c>
    </row>
    <row r="22" spans="1:7" ht="12.75">
      <c r="A22" s="196" t="s">
        <v>84</v>
      </c>
      <c r="B22" s="196">
        <v>0.00011040576630312512</v>
      </c>
      <c r="C22" s="196">
        <v>0.0005191424171553873</v>
      </c>
      <c r="D22" s="196">
        <v>0.21266951544450466</v>
      </c>
      <c r="E22" s="196">
        <v>0.8376452714378497</v>
      </c>
      <c r="F22" s="196">
        <v>-0.0011171701051453057</v>
      </c>
      <c r="G22" s="196">
        <v>0.001337981637751556</v>
      </c>
    </row>
    <row r="23" spans="1:7" ht="13.5" thickBot="1">
      <c r="A23" s="197" t="s">
        <v>137</v>
      </c>
      <c r="B23" s="197">
        <v>0.8956618191573892</v>
      </c>
      <c r="C23" s="197">
        <v>0.17110804005034974</v>
      </c>
      <c r="D23" s="197">
        <v>5.23448120201619</v>
      </c>
      <c r="E23" s="197">
        <v>0.0012065165140598148</v>
      </c>
      <c r="F23" s="197">
        <v>0.4910558874602871</v>
      </c>
      <c r="G23" s="197">
        <v>1.3002677508544913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&amp;CCas Muyne (Auteur du corrigé : Jean-François Gueugnon)</oddHeader>
    <oddFooter>&amp;CRégression sur les primes de risque selon le MEDAF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5">
      <selection activeCell="A7" sqref="A7:IV7"/>
    </sheetView>
  </sheetViews>
  <sheetFormatPr defaultColWidth="11.421875" defaultRowHeight="12.75"/>
  <cols>
    <col min="1" max="1" width="51.140625" style="134" bestFit="1" customWidth="1"/>
    <col min="2" max="2" width="14.8515625" style="134" bestFit="1" customWidth="1"/>
    <col min="3" max="6" width="13.7109375" style="134" bestFit="1" customWidth="1"/>
    <col min="7" max="7" width="14.8515625" style="134" bestFit="1" customWidth="1"/>
    <col min="8" max="16384" width="45.8515625" style="134" customWidth="1"/>
  </cols>
  <sheetData>
    <row r="1" ht="15.75">
      <c r="A1" s="133" t="s">
        <v>129</v>
      </c>
    </row>
    <row r="2" spans="1:7" ht="15.75">
      <c r="A2" s="134" t="s">
        <v>123</v>
      </c>
      <c r="B2" s="135">
        <v>300000</v>
      </c>
      <c r="F2" s="136"/>
      <c r="G2" s="136"/>
    </row>
    <row r="3" spans="1:2" ht="15.75">
      <c r="A3" s="134" t="s">
        <v>99</v>
      </c>
      <c r="B3" s="137">
        <v>0.1</v>
      </c>
    </row>
    <row r="4" spans="1:2" ht="15.75">
      <c r="A4" s="134" t="s">
        <v>100</v>
      </c>
      <c r="B4" s="137">
        <v>0.11</v>
      </c>
    </row>
    <row r="5" spans="1:2" ht="15.75">
      <c r="A5" s="134" t="s">
        <v>124</v>
      </c>
      <c r="B5" s="139">
        <v>5</v>
      </c>
    </row>
    <row r="6" spans="1:2" ht="15.75">
      <c r="A6" s="134" t="s">
        <v>101</v>
      </c>
      <c r="B6" s="140">
        <v>0.01</v>
      </c>
    </row>
    <row r="7" spans="1:2" ht="15.75">
      <c r="A7" s="134" t="s">
        <v>102</v>
      </c>
      <c r="B7" s="142">
        <v>0</v>
      </c>
    </row>
    <row r="8" spans="1:3" ht="15.75">
      <c r="A8" s="134" t="s">
        <v>103</v>
      </c>
      <c r="B8" s="143">
        <f>($B$3/(1-((1+$B$3)^-$B$5)))</f>
        <v>0.26379748079474524</v>
      </c>
      <c r="C8" s="144"/>
    </row>
    <row r="9" spans="1:2" ht="15.75">
      <c r="A9" s="134" t="s">
        <v>126</v>
      </c>
      <c r="B9" s="145">
        <f>B8*B2</f>
        <v>79139.24423842358</v>
      </c>
    </row>
    <row r="10" ht="15.75">
      <c r="B10" s="135"/>
    </row>
    <row r="11" spans="1:2" ht="15.75">
      <c r="A11" s="133" t="s">
        <v>105</v>
      </c>
      <c r="B11" s="128"/>
    </row>
    <row r="12" spans="1:2" ht="15.75">
      <c r="A12" s="134" t="s">
        <v>104</v>
      </c>
      <c r="B12" s="146">
        <v>0</v>
      </c>
    </row>
    <row r="13" spans="1:2" ht="15.75">
      <c r="A13" s="134" t="s">
        <v>106</v>
      </c>
      <c r="B13" s="138">
        <v>0.03</v>
      </c>
    </row>
    <row r="14" spans="1:7" ht="15.75">
      <c r="A14" s="134" t="s">
        <v>107</v>
      </c>
      <c r="B14" s="147">
        <v>0.4</v>
      </c>
      <c r="F14" s="136"/>
      <c r="G14" s="136"/>
    </row>
    <row r="15" spans="1:7" ht="15.75">
      <c r="A15" s="134" t="s">
        <v>108</v>
      </c>
      <c r="B15" s="137">
        <f>B$13/(1-($B$12*B$13))</f>
        <v>0.03</v>
      </c>
      <c r="F15" s="136"/>
      <c r="G15" s="136"/>
    </row>
    <row r="16" spans="1:7" ht="15.75">
      <c r="A16" s="134" t="s">
        <v>122</v>
      </c>
      <c r="B16" s="141">
        <f>B13*B2</f>
        <v>9000</v>
      </c>
      <c r="F16" s="136"/>
      <c r="G16" s="136"/>
    </row>
    <row r="17" spans="1:7" ht="15.75">
      <c r="A17" s="134" t="s">
        <v>115</v>
      </c>
      <c r="B17" s="141">
        <f>B13*B2*(1-B14)</f>
        <v>5400</v>
      </c>
      <c r="F17" s="136"/>
      <c r="G17" s="136"/>
    </row>
    <row r="18" spans="1:7" ht="16.5" thickBot="1">
      <c r="A18" s="148"/>
      <c r="B18" s="148"/>
      <c r="C18" s="144"/>
      <c r="D18" s="144"/>
      <c r="E18" s="144"/>
      <c r="F18" s="144"/>
      <c r="G18" s="144"/>
    </row>
    <row r="19" spans="1:7" ht="17.25" thickBot="1" thickTop="1">
      <c r="A19" s="149" t="s">
        <v>109</v>
      </c>
      <c r="B19" s="150">
        <v>0</v>
      </c>
      <c r="C19" s="150">
        <v>1</v>
      </c>
      <c r="D19" s="151">
        <v>2</v>
      </c>
      <c r="E19" s="151">
        <v>3</v>
      </c>
      <c r="F19" s="151">
        <v>4</v>
      </c>
      <c r="G19" s="152">
        <v>5</v>
      </c>
    </row>
    <row r="20" spans="1:7" ht="16.5" thickTop="1">
      <c r="A20" s="153" t="s">
        <v>112</v>
      </c>
      <c r="B20" s="154">
        <f>B2</f>
        <v>300000</v>
      </c>
      <c r="C20" s="155"/>
      <c r="D20" s="155"/>
      <c r="E20" s="155"/>
      <c r="F20" s="155"/>
      <c r="G20" s="156"/>
    </row>
    <row r="21" spans="1:7" ht="15.75">
      <c r="A21" s="153" t="s">
        <v>113</v>
      </c>
      <c r="B21" s="157">
        <v>0</v>
      </c>
      <c r="C21" s="158">
        <f>-$B$3*($B$2+SUM($B$22:B22))*(1-$B$14)</f>
        <v>-18000</v>
      </c>
      <c r="D21" s="158">
        <f>-$B$3*($B$2+SUM($B$22:C22))*(1-$B$14)</f>
        <v>-18000</v>
      </c>
      <c r="E21" s="158">
        <f>-$B$3*($B$2+SUM($B$22:D22))*(1-$B$14)</f>
        <v>-18000</v>
      </c>
      <c r="F21" s="158">
        <f>-$B$3*($B$2+SUM($B$22:E22))*(1-$B$14)</f>
        <v>-18000</v>
      </c>
      <c r="G21" s="159">
        <f>-$B$3*($B$2+SUM($B$22:F22))*(1-$B$14)</f>
        <v>-18000</v>
      </c>
    </row>
    <row r="22" spans="1:8" ht="15.75">
      <c r="A22" s="153" t="s">
        <v>121</v>
      </c>
      <c r="B22" s="160">
        <v>0</v>
      </c>
      <c r="C22" s="157">
        <f>-IF($B$7=0,IF(C19=$B$5,$B$2,0),IF(C19=$B$5,$B$2+SUM($B22:B22),($B$8*$B$2)-($B$3*($B$2-SUM($B22:B22)))))</f>
        <v>0</v>
      </c>
      <c r="D22" s="157">
        <f>-IF($B$7=0,IF(D19=$B$5,$B$2,0),IF(D19=$B$5,$B$2+SUM($B22:C22),($B$8*$B$2)-($B$3*($B$2+SUM($B22:C22)))))</f>
        <v>0</v>
      </c>
      <c r="E22" s="157">
        <f>-IF($B$7=0,IF(E19=$B$5,$B$2,0),IF(E19=$B$5,$B$2+SUM($B22:D22),($B$8*$B$2)-($B$3*($B$2+SUM($B22:D22)))))</f>
        <v>0</v>
      </c>
      <c r="F22" s="157">
        <f>-IF($B$7=0,IF(F19=$B$5,$B$2,0),IF(F19=$B$5,$B$2+SUM($B22:E22),($B$8*$B$2)-($B$3*($B$2+SUM($B22:E22)))))</f>
        <v>0</v>
      </c>
      <c r="G22" s="159">
        <f>-IF($B$7=0,IF(G19=$B$5,$B$2,0),IF(G19=$B$5,$B$2+SUM($B22:F22),($B$8*$B$2)-($B$3*($B$2+SUM($B22:F22)))))</f>
        <v>-300000</v>
      </c>
      <c r="H22" s="161"/>
    </row>
    <row r="23" spans="1:7" ht="15.75">
      <c r="A23" s="153" t="s">
        <v>114</v>
      </c>
      <c r="B23" s="160">
        <v>0</v>
      </c>
      <c r="C23" s="158">
        <f>$B$6*(1-$B$14)*C$22</f>
        <v>0</v>
      </c>
      <c r="D23" s="158">
        <f>$B$6*(1-$B$14)*D$22</f>
        <v>0</v>
      </c>
      <c r="E23" s="158">
        <f>$B$6*(1-$B$14)*E$22</f>
        <v>0</v>
      </c>
      <c r="F23" s="158">
        <f>$B$6*(1-$B$14)*F$22</f>
        <v>0</v>
      </c>
      <c r="G23" s="159">
        <f>$B$6*(1-$B$14)*G$22</f>
        <v>-1800</v>
      </c>
    </row>
    <row r="24" spans="1:7" ht="16.5" thickBot="1">
      <c r="A24" s="162" t="s">
        <v>115</v>
      </c>
      <c r="B24" s="163">
        <f>-B17</f>
        <v>-5400</v>
      </c>
      <c r="C24" s="164"/>
      <c r="D24" s="164"/>
      <c r="E24" s="164"/>
      <c r="F24" s="164"/>
      <c r="G24" s="165"/>
    </row>
    <row r="25" spans="1:7" ht="16.5" thickBot="1">
      <c r="A25" s="166" t="s">
        <v>110</v>
      </c>
      <c r="B25" s="167">
        <f aca="true" t="shared" si="0" ref="B25:G25">SUM(B20:B24)</f>
        <v>294600</v>
      </c>
      <c r="C25" s="167">
        <f t="shared" si="0"/>
        <v>-18000</v>
      </c>
      <c r="D25" s="167">
        <f t="shared" si="0"/>
        <v>-18000</v>
      </c>
      <c r="E25" s="167">
        <f t="shared" si="0"/>
        <v>-18000</v>
      </c>
      <c r="F25" s="167">
        <f t="shared" si="0"/>
        <v>-18000</v>
      </c>
      <c r="G25" s="168">
        <f t="shared" si="0"/>
        <v>-319800</v>
      </c>
    </row>
    <row r="26" spans="1:8" ht="16.5" thickBot="1">
      <c r="A26" s="169" t="s">
        <v>111</v>
      </c>
      <c r="B26" s="170">
        <f aca="true" t="shared" si="1" ref="B26:G26">B25/((1+$B$28)^B19)</f>
        <v>294600</v>
      </c>
      <c r="C26" s="171">
        <f t="shared" si="1"/>
        <v>-16895.237977639652</v>
      </c>
      <c r="D26" s="171">
        <f t="shared" si="1"/>
        <v>-15858.281462282064</v>
      </c>
      <c r="E26" s="171">
        <f t="shared" si="1"/>
        <v>-14884.968845647045</v>
      </c>
      <c r="F26" s="171">
        <f t="shared" si="1"/>
        <v>-13971.393940942166</v>
      </c>
      <c r="G26" s="172">
        <f t="shared" si="1"/>
        <v>-232990.11777345763</v>
      </c>
      <c r="H26" s="161"/>
    </row>
    <row r="27" spans="1:7" ht="16.5" thickTop="1">
      <c r="A27" s="173"/>
      <c r="B27" s="174"/>
      <c r="C27" s="175"/>
      <c r="D27" s="175"/>
      <c r="E27" s="175"/>
      <c r="F27" s="175"/>
      <c r="G27" s="176"/>
    </row>
    <row r="28" spans="1:2" ht="15.75">
      <c r="A28" s="133" t="s">
        <v>125</v>
      </c>
      <c r="B28" s="177">
        <f>IRR(B25:G25)</f>
        <v>0.06538895893756974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&amp;CCas Muyne (Auteur du corrigé : Jean-François Gueugnon)</oddHeader>
    <oddFooter>&amp;CDétermination du coût de la dette financière remboursée  In fine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9" sqref="A9"/>
    </sheetView>
  </sheetViews>
  <sheetFormatPr defaultColWidth="11.421875" defaultRowHeight="12.75"/>
  <cols>
    <col min="1" max="1" width="51.140625" style="134" bestFit="1" customWidth="1"/>
    <col min="2" max="2" width="14.8515625" style="134" bestFit="1" customWidth="1"/>
    <col min="3" max="7" width="13.7109375" style="134" bestFit="1" customWidth="1"/>
    <col min="8" max="16384" width="45.8515625" style="134" customWidth="1"/>
  </cols>
  <sheetData>
    <row r="1" ht="15.75">
      <c r="A1" s="133" t="s">
        <v>129</v>
      </c>
    </row>
    <row r="2" spans="1:7" ht="15.75">
      <c r="A2" s="134" t="s">
        <v>123</v>
      </c>
      <c r="B2" s="135">
        <v>300000</v>
      </c>
      <c r="F2" s="136"/>
      <c r="G2" s="136"/>
    </row>
    <row r="3" spans="1:2" ht="15.75">
      <c r="A3" s="134" t="s">
        <v>99</v>
      </c>
      <c r="B3" s="137">
        <v>0.1</v>
      </c>
    </row>
    <row r="4" spans="1:2" ht="15.75">
      <c r="A4" s="134" t="s">
        <v>124</v>
      </c>
      <c r="B4" s="139">
        <v>5</v>
      </c>
    </row>
    <row r="5" spans="1:2" ht="15.75">
      <c r="A5" s="134" t="s">
        <v>101</v>
      </c>
      <c r="B5" s="140">
        <v>0.01</v>
      </c>
    </row>
    <row r="6" spans="1:2" ht="15.75">
      <c r="A6" s="134" t="s">
        <v>102</v>
      </c>
      <c r="B6" s="142">
        <v>1</v>
      </c>
    </row>
    <row r="7" spans="1:3" ht="15.75">
      <c r="A7" s="134" t="s">
        <v>103</v>
      </c>
      <c r="B7" s="143">
        <f>($B$3/(1-((1+$B$3)^-$B$4)))</f>
        <v>0.26379748079474524</v>
      </c>
      <c r="C7" s="144"/>
    </row>
    <row r="8" spans="1:2" ht="15.75">
      <c r="A8" s="134" t="s">
        <v>126</v>
      </c>
      <c r="B8" s="145">
        <f>B7*B2</f>
        <v>79139.24423842358</v>
      </c>
    </row>
    <row r="9" ht="15.75">
      <c r="B9" s="135"/>
    </row>
    <row r="10" spans="1:2" ht="15.75">
      <c r="A10" s="133" t="s">
        <v>105</v>
      </c>
      <c r="B10" s="128"/>
    </row>
    <row r="11" spans="1:2" ht="15.75">
      <c r="A11" s="134" t="s">
        <v>104</v>
      </c>
      <c r="B11" s="146">
        <v>0</v>
      </c>
    </row>
    <row r="12" spans="1:2" ht="15.75">
      <c r="A12" s="134" t="s">
        <v>106</v>
      </c>
      <c r="B12" s="138">
        <v>0.03</v>
      </c>
    </row>
    <row r="13" spans="1:7" ht="15.75">
      <c r="A13" s="134" t="s">
        <v>107</v>
      </c>
      <c r="B13" s="147">
        <v>0.4</v>
      </c>
      <c r="F13" s="136"/>
      <c r="G13" s="136"/>
    </row>
    <row r="14" spans="1:7" ht="15.75">
      <c r="A14" s="134" t="s">
        <v>108</v>
      </c>
      <c r="B14" s="137">
        <f>B$12/(1-($B$11*B$12))</f>
        <v>0.03</v>
      </c>
      <c r="F14" s="136"/>
      <c r="G14" s="136"/>
    </row>
    <row r="15" spans="1:7" ht="15.75">
      <c r="A15" s="134" t="s">
        <v>122</v>
      </c>
      <c r="B15" s="141">
        <f>B12*B2</f>
        <v>9000</v>
      </c>
      <c r="F15" s="136"/>
      <c r="G15" s="136"/>
    </row>
    <row r="16" spans="1:7" ht="15.75">
      <c r="A16" s="134" t="s">
        <v>115</v>
      </c>
      <c r="B16" s="141">
        <f>B12*B2*(1-B13)</f>
        <v>5400</v>
      </c>
      <c r="F16" s="136"/>
      <c r="G16" s="136"/>
    </row>
    <row r="17" spans="1:7" ht="16.5" thickBot="1">
      <c r="A17" s="148"/>
      <c r="B17" s="148"/>
      <c r="C17" s="144"/>
      <c r="D17" s="144"/>
      <c r="E17" s="144"/>
      <c r="F17" s="144"/>
      <c r="G17" s="144"/>
    </row>
    <row r="18" spans="1:7" ht="17.25" thickBot="1" thickTop="1">
      <c r="A18" s="149" t="s">
        <v>109</v>
      </c>
      <c r="B18" s="150">
        <v>0</v>
      </c>
      <c r="C18" s="150">
        <v>1</v>
      </c>
      <c r="D18" s="151">
        <v>2</v>
      </c>
      <c r="E18" s="151">
        <v>3</v>
      </c>
      <c r="F18" s="151">
        <v>4</v>
      </c>
      <c r="G18" s="152">
        <v>5</v>
      </c>
    </row>
    <row r="19" spans="1:7" ht="16.5" thickTop="1">
      <c r="A19" s="153" t="s">
        <v>112</v>
      </c>
      <c r="B19" s="154">
        <f>B2</f>
        <v>300000</v>
      </c>
      <c r="C19" s="155"/>
      <c r="D19" s="155"/>
      <c r="E19" s="155"/>
      <c r="F19" s="155"/>
      <c r="G19" s="156"/>
    </row>
    <row r="20" spans="1:7" ht="15.75">
      <c r="A20" s="153" t="s">
        <v>113</v>
      </c>
      <c r="B20" s="157">
        <v>0</v>
      </c>
      <c r="C20" s="158">
        <f>-$B$3*($B$2+SUM($B$21:B21))*(1-$B$13)</f>
        <v>-18000</v>
      </c>
      <c r="D20" s="158">
        <f>-$B$3*($B$2+SUM($B$21:C21))*(1-$B$13)</f>
        <v>-15051.645345694586</v>
      </c>
      <c r="E20" s="158">
        <f>-$B$3*($B$2+SUM($B$21:D21))*(1-$B$13)</f>
        <v>-11808.455225958629</v>
      </c>
      <c r="F20" s="158">
        <f>-$B$3*($B$2+SUM($B$21:E21))*(1-$B$13)</f>
        <v>-8240.946094249077</v>
      </c>
      <c r="G20" s="159">
        <f>-$B$3*($B$2+SUM($B$21:F21))*(1-$B$13)</f>
        <v>-4316.686049368571</v>
      </c>
    </row>
    <row r="21" spans="1:8" ht="15.75">
      <c r="A21" s="153" t="s">
        <v>121</v>
      </c>
      <c r="B21" s="160">
        <v>0</v>
      </c>
      <c r="C21" s="157">
        <f>-IF($B$6=0,IF(C18=$B$4,$B$2,0),IF(C18=$B$4,$B$2+SUM($B21:B21),($B$7*$B$2)-($B$3*($B$2-SUM($B21:B21)))))</f>
        <v>-49139.24423842358</v>
      </c>
      <c r="D21" s="157">
        <f>-IF($B$6=0,IF(D18=$B$4,$B$2,0),IF(D18=$B$4,$B$2+SUM($B21:C21),($B$7*$B$2)-($B$3*($B$2+SUM($B21:C21)))))</f>
        <v>-54053.16866226593</v>
      </c>
      <c r="E21" s="157">
        <f>-IF($B$6=0,IF(E18=$B$4,$B$2,0),IF(E18=$B$4,$B$2+SUM($B21:D21),($B$7*$B$2)-($B$3*($B$2+SUM($B21:D21)))))</f>
        <v>-59458.48552849253</v>
      </c>
      <c r="F21" s="157">
        <f>-IF($B$6=0,IF(F18=$B$4,$B$2,0),IF(F18=$B$4,$B$2+SUM($B21:E21),($B$7*$B$2)-($B$3*($B$2+SUM($B21:E21)))))</f>
        <v>-65404.33408134178</v>
      </c>
      <c r="G21" s="159">
        <f>-IF($B$6=0,IF(G18=$B$4,$B$2,0),IF(G18=$B$4,$B$2+SUM($B21:F21),($B$7*$B$2)-($B$3*($B$2+SUM($B21:F21)))))</f>
        <v>-71944.76748947619</v>
      </c>
      <c r="H21" s="161"/>
    </row>
    <row r="22" spans="1:7" ht="15.75">
      <c r="A22" s="153" t="s">
        <v>114</v>
      </c>
      <c r="B22" s="160">
        <v>0</v>
      </c>
      <c r="C22" s="158">
        <f>$B$5*(1-$B$13)*C$21</f>
        <v>-294.8354654305415</v>
      </c>
      <c r="D22" s="158">
        <f>$B$5*(1-$B$13)*D$21</f>
        <v>-324.3190119735956</v>
      </c>
      <c r="E22" s="158">
        <f>$B$5*(1-$B$13)*E$21</f>
        <v>-356.7509131709552</v>
      </c>
      <c r="F22" s="158">
        <f>$B$5*(1-$B$13)*F$21</f>
        <v>-392.4260044880507</v>
      </c>
      <c r="G22" s="159">
        <f>$B$5*(1-$B$13)*G$21</f>
        <v>-431.66860493685715</v>
      </c>
    </row>
    <row r="23" spans="1:7" ht="16.5" thickBot="1">
      <c r="A23" s="162" t="s">
        <v>115</v>
      </c>
      <c r="B23" s="163">
        <f>-B16</f>
        <v>-5400</v>
      </c>
      <c r="C23" s="164"/>
      <c r="D23" s="164"/>
      <c r="E23" s="164"/>
      <c r="F23" s="164"/>
      <c r="G23" s="165"/>
    </row>
    <row r="24" spans="1:7" ht="16.5" thickBot="1">
      <c r="A24" s="166" t="s">
        <v>110</v>
      </c>
      <c r="B24" s="167">
        <f aca="true" t="shared" si="0" ref="B24:G24">SUM(B19:B23)</f>
        <v>294600</v>
      </c>
      <c r="C24" s="167">
        <f t="shared" si="0"/>
        <v>-67434.07970385412</v>
      </c>
      <c r="D24" s="167">
        <f t="shared" si="0"/>
        <v>-69429.13301993412</v>
      </c>
      <c r="E24" s="167">
        <f t="shared" si="0"/>
        <v>-71623.69166762212</v>
      </c>
      <c r="F24" s="167">
        <f t="shared" si="0"/>
        <v>-74037.70618007891</v>
      </c>
      <c r="G24" s="168">
        <f t="shared" si="0"/>
        <v>-76693.12214378161</v>
      </c>
    </row>
    <row r="25" spans="1:8" ht="16.5" thickBot="1">
      <c r="A25" s="169" t="s">
        <v>111</v>
      </c>
      <c r="B25" s="170">
        <f aca="true" t="shared" si="1" ref="B25:G25">B24/((1+$B$27)^B18)</f>
        <v>294600</v>
      </c>
      <c r="C25" s="171">
        <f t="shared" si="1"/>
        <v>-63118.053550853125</v>
      </c>
      <c r="D25" s="171">
        <f t="shared" si="1"/>
        <v>-60826.11341403944</v>
      </c>
      <c r="E25" s="171">
        <f t="shared" si="1"/>
        <v>-58732.594989921054</v>
      </c>
      <c r="F25" s="171">
        <f t="shared" si="1"/>
        <v>-56826.329545820176</v>
      </c>
      <c r="G25" s="172">
        <f t="shared" si="1"/>
        <v>-55096.90849936579</v>
      </c>
      <c r="H25" s="161"/>
    </row>
    <row r="26" spans="1:7" ht="16.5" thickTop="1">
      <c r="A26" s="173"/>
      <c r="B26" s="174"/>
      <c r="C26" s="175"/>
      <c r="D26" s="175"/>
      <c r="E26" s="175"/>
      <c r="F26" s="175"/>
      <c r="G26" s="176"/>
    </row>
    <row r="27" spans="1:2" ht="15.75">
      <c r="A27" s="133" t="s">
        <v>125</v>
      </c>
      <c r="B27" s="177">
        <f>IRR(B24:G24)</f>
        <v>0.06838021628033332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&amp;CCas Muyne (Auteur du corrigé : Jean-François Gueugnon)</oddHeader>
    <oddFooter>&amp;CDétermination du coût de la dette financière remboursée par annuité constante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workbookViewId="0" topLeftCell="A1">
      <selection activeCell="F33" sqref="F33"/>
    </sheetView>
  </sheetViews>
  <sheetFormatPr defaultColWidth="11.421875" defaultRowHeight="12.75"/>
  <cols>
    <col min="1" max="1" width="37.28125" style="1" customWidth="1"/>
    <col min="2" max="2" width="14.00390625" style="1" bestFit="1" customWidth="1"/>
    <col min="3" max="3" width="14.28125" style="1" bestFit="1" customWidth="1"/>
    <col min="4" max="4" width="11.8515625" style="1" bestFit="1" customWidth="1"/>
    <col min="5" max="5" width="12.00390625" style="1" bestFit="1" customWidth="1"/>
    <col min="6" max="6" width="11.57421875" style="1" bestFit="1" customWidth="1"/>
    <col min="7" max="7" width="11.57421875" style="1" customWidth="1"/>
    <col min="8" max="8" width="11.57421875" style="1" bestFit="1" customWidth="1"/>
    <col min="9" max="9" width="11.57421875" style="1" customWidth="1"/>
    <col min="10" max="10" width="11.57421875" style="1" bestFit="1" customWidth="1"/>
    <col min="11" max="11" width="11.57421875" style="1" customWidth="1"/>
    <col min="12" max="12" width="11.57421875" style="1" bestFit="1" customWidth="1"/>
    <col min="13" max="13" width="11.57421875" style="1" customWidth="1"/>
    <col min="14" max="16384" width="11.421875" style="1" customWidth="1"/>
  </cols>
  <sheetData>
    <row r="1" spans="1:13" ht="13.5" thickBot="1">
      <c r="A1" s="29"/>
      <c r="B1" s="30" t="s">
        <v>39</v>
      </c>
      <c r="C1" s="31"/>
      <c r="D1" s="30" t="s">
        <v>40</v>
      </c>
      <c r="E1" s="31"/>
      <c r="F1" s="30" t="s">
        <v>41</v>
      </c>
      <c r="G1" s="31"/>
      <c r="H1" s="30" t="s">
        <v>42</v>
      </c>
      <c r="I1" s="31"/>
      <c r="J1" s="30" t="s">
        <v>43</v>
      </c>
      <c r="K1" s="31"/>
      <c r="L1" s="30" t="s">
        <v>44</v>
      </c>
      <c r="M1" s="31"/>
    </row>
    <row r="2" spans="1:13" s="5" customFormat="1" ht="13.5" thickBot="1">
      <c r="A2" s="32"/>
      <c r="B2" s="33" t="s">
        <v>45</v>
      </c>
      <c r="C2" s="34" t="s">
        <v>46</v>
      </c>
      <c r="D2" s="33" t="s">
        <v>45</v>
      </c>
      <c r="E2" s="34" t="s">
        <v>46</v>
      </c>
      <c r="F2" s="33" t="s">
        <v>45</v>
      </c>
      <c r="G2" s="34" t="s">
        <v>46</v>
      </c>
      <c r="H2" s="33" t="s">
        <v>45</v>
      </c>
      <c r="I2" s="34" t="s">
        <v>46</v>
      </c>
      <c r="J2" s="33" t="s">
        <v>45</v>
      </c>
      <c r="K2" s="34" t="s">
        <v>46</v>
      </c>
      <c r="L2" s="33" t="s">
        <v>45</v>
      </c>
      <c r="M2" s="34" t="s">
        <v>46</v>
      </c>
    </row>
    <row r="3" spans="1:13" ht="12.75">
      <c r="A3" s="35" t="s">
        <v>47</v>
      </c>
      <c r="B3" s="36">
        <v>0</v>
      </c>
      <c r="C3" s="37">
        <v>0</v>
      </c>
      <c r="D3" s="36">
        <f>Paramètres!$B12*Paramètres!$B13</f>
        <v>800000</v>
      </c>
      <c r="E3" s="37">
        <v>0</v>
      </c>
      <c r="F3" s="36">
        <f>Paramètres!$B12*Paramètres!$B13</f>
        <v>800000</v>
      </c>
      <c r="G3" s="37">
        <v>0</v>
      </c>
      <c r="H3" s="36">
        <f>Paramètres!$B12*Paramètres!$B13</f>
        <v>800000</v>
      </c>
      <c r="I3" s="37">
        <v>0</v>
      </c>
      <c r="J3" s="36">
        <f>Paramètres!$B12*Paramètres!$B13</f>
        <v>800000</v>
      </c>
      <c r="K3" s="37">
        <v>0</v>
      </c>
      <c r="L3" s="36">
        <f>Paramètres!$B12*Paramètres!$B13</f>
        <v>800000</v>
      </c>
      <c r="M3" s="37">
        <v>0</v>
      </c>
    </row>
    <row r="4" spans="1:13" ht="12.75">
      <c r="A4" s="38" t="s">
        <v>48</v>
      </c>
      <c r="B4" s="39">
        <v>0</v>
      </c>
      <c r="C4" s="40">
        <v>0</v>
      </c>
      <c r="D4" s="39">
        <f>Paramètres!$B14*Paramètres!$B12</f>
        <v>492000</v>
      </c>
      <c r="E4" s="40">
        <v>0</v>
      </c>
      <c r="F4" s="39">
        <f>Paramètres!$B14*Paramètres!$B12</f>
        <v>492000</v>
      </c>
      <c r="G4" s="40">
        <v>0</v>
      </c>
      <c r="H4" s="39">
        <f>Paramètres!$B14*Paramètres!$B12</f>
        <v>492000</v>
      </c>
      <c r="I4" s="40">
        <v>0</v>
      </c>
      <c r="J4" s="39">
        <f>Paramètres!$B14*Paramètres!$B12</f>
        <v>492000</v>
      </c>
      <c r="K4" s="40">
        <v>0</v>
      </c>
      <c r="L4" s="39">
        <f>Paramètres!$B14*Paramètres!$B12</f>
        <v>492000</v>
      </c>
      <c r="M4" s="40">
        <v>0</v>
      </c>
    </row>
    <row r="5" spans="1:13" ht="12.75">
      <c r="A5" s="38" t="s">
        <v>49</v>
      </c>
      <c r="B5" s="39">
        <v>0</v>
      </c>
      <c r="C5" s="40">
        <v>0</v>
      </c>
      <c r="D5" s="39">
        <f>Paramètres!$B15*Paramètres!$B12</f>
        <v>124000</v>
      </c>
      <c r="E5" s="40">
        <v>0</v>
      </c>
      <c r="F5" s="39">
        <f>Paramètres!$B15*Paramètres!$B12</f>
        <v>124000</v>
      </c>
      <c r="G5" s="40">
        <v>0</v>
      </c>
      <c r="H5" s="39">
        <f>Paramètres!$B15*Paramètres!$B12</f>
        <v>124000</v>
      </c>
      <c r="I5" s="40">
        <v>0</v>
      </c>
      <c r="J5" s="39">
        <f>Paramètres!$B15*Paramètres!$B12</f>
        <v>124000</v>
      </c>
      <c r="K5" s="40">
        <v>0</v>
      </c>
      <c r="L5" s="39">
        <f>Paramètres!$B15*Paramètres!$B12</f>
        <v>124000</v>
      </c>
      <c r="M5" s="40">
        <v>0</v>
      </c>
    </row>
    <row r="6" spans="1:13" ht="12.75">
      <c r="A6" s="38" t="s">
        <v>50</v>
      </c>
      <c r="B6" s="39">
        <v>0</v>
      </c>
      <c r="C6" s="40">
        <v>0</v>
      </c>
      <c r="D6" s="39">
        <f>Amort!C4</f>
        <v>115000</v>
      </c>
      <c r="E6" s="40">
        <v>0</v>
      </c>
      <c r="F6" s="39">
        <f>Amort!C5</f>
        <v>115000</v>
      </c>
      <c r="G6" s="40">
        <v>0</v>
      </c>
      <c r="H6" s="39">
        <f>Amort!C6</f>
        <v>115000</v>
      </c>
      <c r="I6" s="40">
        <v>0</v>
      </c>
      <c r="J6" s="39">
        <f>Amort!C7</f>
        <v>115000</v>
      </c>
      <c r="K6" s="40">
        <v>0</v>
      </c>
      <c r="L6" s="39">
        <f>Amort!C8</f>
        <v>0</v>
      </c>
      <c r="M6" s="40">
        <v>0</v>
      </c>
    </row>
    <row r="7" spans="1:13" ht="12.75">
      <c r="A7" s="41" t="s">
        <v>51</v>
      </c>
      <c r="B7" s="42">
        <f aca="true" t="shared" si="0" ref="B7:M7">B3-B4-B5-B6</f>
        <v>0</v>
      </c>
      <c r="C7" s="43">
        <f t="shared" si="0"/>
        <v>0</v>
      </c>
      <c r="D7" s="42">
        <f t="shared" si="0"/>
        <v>69000</v>
      </c>
      <c r="E7" s="43">
        <f t="shared" si="0"/>
        <v>0</v>
      </c>
      <c r="F7" s="42">
        <f t="shared" si="0"/>
        <v>69000</v>
      </c>
      <c r="G7" s="43">
        <f t="shared" si="0"/>
        <v>0</v>
      </c>
      <c r="H7" s="42">
        <f>H3-H4-H5-H6</f>
        <v>69000</v>
      </c>
      <c r="I7" s="43">
        <f t="shared" si="0"/>
        <v>0</v>
      </c>
      <c r="J7" s="42">
        <f>J3-J4-J5-J6</f>
        <v>69000</v>
      </c>
      <c r="K7" s="43">
        <f t="shared" si="0"/>
        <v>0</v>
      </c>
      <c r="L7" s="42">
        <f>L3-L4-L5-L6</f>
        <v>184000</v>
      </c>
      <c r="M7" s="43">
        <f t="shared" si="0"/>
        <v>0</v>
      </c>
    </row>
    <row r="8" spans="1:13" ht="12.75">
      <c r="A8" s="38" t="s">
        <v>52</v>
      </c>
      <c r="B8" s="39">
        <f>Paramètres!$B17*B7</f>
        <v>0</v>
      </c>
      <c r="C8" s="40">
        <v>0</v>
      </c>
      <c r="D8" s="39">
        <f>Paramètres!$B17*D7</f>
        <v>31050</v>
      </c>
      <c r="E8" s="40">
        <v>0</v>
      </c>
      <c r="F8" s="39">
        <f>Paramètres!$B17*F7</f>
        <v>31050</v>
      </c>
      <c r="G8" s="40">
        <v>0</v>
      </c>
      <c r="H8" s="39">
        <f>Paramètres!$B17*H7</f>
        <v>31050</v>
      </c>
      <c r="I8" s="40">
        <v>0</v>
      </c>
      <c r="J8" s="39">
        <f>Paramètres!$B17*J7</f>
        <v>31050</v>
      </c>
      <c r="K8" s="40">
        <v>0</v>
      </c>
      <c r="L8" s="39">
        <f>Paramètres!$B17*L7</f>
        <v>82800</v>
      </c>
      <c r="M8" s="40">
        <v>0</v>
      </c>
    </row>
    <row r="9" spans="1:13" ht="12.75">
      <c r="A9" s="38" t="s">
        <v>53</v>
      </c>
      <c r="B9" s="39">
        <f aca="true" t="shared" si="1" ref="B9:M9">B7-B8</f>
        <v>0</v>
      </c>
      <c r="C9" s="40">
        <f t="shared" si="1"/>
        <v>0</v>
      </c>
      <c r="D9" s="39">
        <f t="shared" si="1"/>
        <v>37950</v>
      </c>
      <c r="E9" s="40">
        <f t="shared" si="1"/>
        <v>0</v>
      </c>
      <c r="F9" s="39">
        <f t="shared" si="1"/>
        <v>37950</v>
      </c>
      <c r="G9" s="40">
        <f t="shared" si="1"/>
        <v>0</v>
      </c>
      <c r="H9" s="39">
        <f>H7-H8</f>
        <v>37950</v>
      </c>
      <c r="I9" s="40">
        <f t="shared" si="1"/>
        <v>0</v>
      </c>
      <c r="J9" s="39">
        <f>J7-J8</f>
        <v>37950</v>
      </c>
      <c r="K9" s="40">
        <f t="shared" si="1"/>
        <v>0</v>
      </c>
      <c r="L9" s="39">
        <f>L7-L8</f>
        <v>101200</v>
      </c>
      <c r="M9" s="40">
        <f t="shared" si="1"/>
        <v>0</v>
      </c>
    </row>
    <row r="10" spans="1:13" ht="12.75">
      <c r="A10" s="38" t="s">
        <v>50</v>
      </c>
      <c r="B10" s="39">
        <f aca="true" t="shared" si="2" ref="B10:M10">B6</f>
        <v>0</v>
      </c>
      <c r="C10" s="40">
        <f t="shared" si="2"/>
        <v>0</v>
      </c>
      <c r="D10" s="39">
        <f t="shared" si="2"/>
        <v>115000</v>
      </c>
      <c r="E10" s="40">
        <f t="shared" si="2"/>
        <v>0</v>
      </c>
      <c r="F10" s="39">
        <f t="shared" si="2"/>
        <v>115000</v>
      </c>
      <c r="G10" s="40">
        <f t="shared" si="2"/>
        <v>0</v>
      </c>
      <c r="H10" s="39">
        <f t="shared" si="2"/>
        <v>115000</v>
      </c>
      <c r="I10" s="40">
        <f t="shared" si="2"/>
        <v>0</v>
      </c>
      <c r="J10" s="39">
        <f t="shared" si="2"/>
        <v>115000</v>
      </c>
      <c r="K10" s="40">
        <f t="shared" si="2"/>
        <v>0</v>
      </c>
      <c r="L10" s="39">
        <f t="shared" si="2"/>
        <v>0</v>
      </c>
      <c r="M10" s="40">
        <f t="shared" si="2"/>
        <v>0</v>
      </c>
    </row>
    <row r="11" spans="1:13" ht="13.5" thickBot="1">
      <c r="A11" s="41" t="s">
        <v>54</v>
      </c>
      <c r="B11" s="42">
        <f aca="true" t="shared" si="3" ref="B11:M11">B9+B10</f>
        <v>0</v>
      </c>
      <c r="C11" s="43">
        <f t="shared" si="3"/>
        <v>0</v>
      </c>
      <c r="D11" s="42">
        <f t="shared" si="3"/>
        <v>152950</v>
      </c>
      <c r="E11" s="43">
        <f t="shared" si="3"/>
        <v>0</v>
      </c>
      <c r="F11" s="42">
        <f t="shared" si="3"/>
        <v>152950</v>
      </c>
      <c r="G11" s="43">
        <f t="shared" si="3"/>
        <v>0</v>
      </c>
      <c r="H11" s="42">
        <f>H9+H10</f>
        <v>152950</v>
      </c>
      <c r="I11" s="43">
        <f t="shared" si="3"/>
        <v>0</v>
      </c>
      <c r="J11" s="42">
        <f>J9+J10</f>
        <v>152950</v>
      </c>
      <c r="K11" s="43">
        <f t="shared" si="3"/>
        <v>0</v>
      </c>
      <c r="L11" s="42">
        <f>L9+L10</f>
        <v>101200</v>
      </c>
      <c r="M11" s="43">
        <f t="shared" si="3"/>
        <v>0</v>
      </c>
    </row>
    <row r="12" spans="1:13" ht="13.5" thickBot="1">
      <c r="A12" s="85" t="s">
        <v>55</v>
      </c>
      <c r="B12" s="86">
        <f>B11-C11</f>
        <v>0</v>
      </c>
      <c r="C12" s="87"/>
      <c r="D12" s="86">
        <f>D11-E11</f>
        <v>152950</v>
      </c>
      <c r="E12" s="87"/>
      <c r="F12" s="86">
        <f>F11-G11</f>
        <v>152950</v>
      </c>
      <c r="G12" s="87"/>
      <c r="H12" s="86">
        <f>H11-I11</f>
        <v>152950</v>
      </c>
      <c r="I12" s="87"/>
      <c r="J12" s="86">
        <f>J11-K11</f>
        <v>152950</v>
      </c>
      <c r="K12" s="87"/>
      <c r="L12" s="86">
        <f>L11-M11</f>
        <v>101200</v>
      </c>
      <c r="M12" s="87"/>
    </row>
    <row r="13" spans="1:13" s="46" customFormat="1" ht="13.5" thickBo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4.25" thickBot="1" thickTop="1">
      <c r="A14" s="47"/>
      <c r="B14" s="48" t="s">
        <v>15</v>
      </c>
      <c r="C14" s="49"/>
      <c r="D14" s="48" t="s">
        <v>15</v>
      </c>
      <c r="E14" s="49"/>
      <c r="F14" s="48" t="s">
        <v>41</v>
      </c>
      <c r="G14" s="49"/>
      <c r="H14" s="48" t="s">
        <v>42</v>
      </c>
      <c r="I14" s="49"/>
      <c r="J14" s="48" t="s">
        <v>43</v>
      </c>
      <c r="K14" s="49"/>
      <c r="L14" s="48" t="s">
        <v>44</v>
      </c>
      <c r="M14" s="50"/>
    </row>
    <row r="15" spans="1:13" ht="13.5" thickBot="1">
      <c r="A15" s="51"/>
      <c r="B15" s="52">
        <v>0</v>
      </c>
      <c r="C15" s="53"/>
      <c r="D15" s="54">
        <v>1</v>
      </c>
      <c r="E15" s="55"/>
      <c r="F15" s="54">
        <v>2</v>
      </c>
      <c r="G15" s="55"/>
      <c r="H15" s="54">
        <v>3</v>
      </c>
      <c r="I15" s="55"/>
      <c r="J15" s="54">
        <v>4</v>
      </c>
      <c r="K15" s="55"/>
      <c r="L15" s="54">
        <v>5</v>
      </c>
      <c r="M15" s="56"/>
    </row>
    <row r="16" spans="1:13" s="61" customFormat="1" ht="13.5">
      <c r="A16" s="57" t="s">
        <v>56</v>
      </c>
      <c r="B16" s="58">
        <f>SUM(B17:B19)</f>
        <v>500000</v>
      </c>
      <c r="C16" s="59"/>
      <c r="D16" s="58">
        <f aca="true" t="shared" si="4" ref="D16:L16">SUM(D17:D19)</f>
        <v>20000</v>
      </c>
      <c r="E16" s="59"/>
      <c r="F16" s="58">
        <f t="shared" si="4"/>
        <v>-10000</v>
      </c>
      <c r="G16" s="59"/>
      <c r="H16" s="58">
        <f t="shared" si="4"/>
        <v>-10000</v>
      </c>
      <c r="I16" s="59"/>
      <c r="J16" s="58">
        <f t="shared" si="4"/>
        <v>-10000</v>
      </c>
      <c r="K16" s="59"/>
      <c r="L16" s="58">
        <f t="shared" si="4"/>
        <v>-30000</v>
      </c>
      <c r="M16" s="60"/>
    </row>
    <row r="17" spans="1:13" ht="12.75">
      <c r="A17" s="62" t="s">
        <v>57</v>
      </c>
      <c r="B17" s="63">
        <f>Paramètres!B2</f>
        <v>460000</v>
      </c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6"/>
    </row>
    <row r="18" spans="1:13" ht="12.75">
      <c r="A18" s="67" t="s">
        <v>140</v>
      </c>
      <c r="B18" s="65">
        <v>40000</v>
      </c>
      <c r="C18" s="64"/>
      <c r="D18" s="65">
        <v>20000</v>
      </c>
      <c r="E18" s="64"/>
      <c r="F18" s="65">
        <v>-10000</v>
      </c>
      <c r="G18" s="64"/>
      <c r="H18" s="65">
        <v>-10000</v>
      </c>
      <c r="I18" s="64"/>
      <c r="J18" s="65">
        <v>-10000</v>
      </c>
      <c r="K18" s="64"/>
      <c r="L18" s="65">
        <f>-(SUM(D18:K18)+B18)</f>
        <v>-30000</v>
      </c>
      <c r="M18" s="66"/>
    </row>
    <row r="19" spans="1:13" ht="12.75">
      <c r="A19" s="67"/>
      <c r="B19" s="68"/>
      <c r="C19" s="69"/>
      <c r="D19" s="68"/>
      <c r="E19" s="69"/>
      <c r="F19" s="68"/>
      <c r="G19" s="69"/>
      <c r="H19" s="68"/>
      <c r="I19" s="69"/>
      <c r="J19" s="68"/>
      <c r="K19" s="69"/>
      <c r="L19" s="68"/>
      <c r="M19" s="70"/>
    </row>
    <row r="20" spans="1:13" ht="13.5">
      <c r="A20" s="71" t="s">
        <v>58</v>
      </c>
      <c r="B20" s="72">
        <f>SUM(B21:B22)</f>
        <v>0</v>
      </c>
      <c r="C20" s="73"/>
      <c r="D20" s="72">
        <f>SUM(D21:D22)</f>
        <v>152950</v>
      </c>
      <c r="E20" s="73"/>
      <c r="F20" s="72">
        <f>SUM(F21:F22)</f>
        <v>152950</v>
      </c>
      <c r="G20" s="73"/>
      <c r="H20" s="72">
        <f>SUM(H21:H22)</f>
        <v>152950</v>
      </c>
      <c r="I20" s="73"/>
      <c r="J20" s="72">
        <f>SUM(J21:J22)</f>
        <v>152950</v>
      </c>
      <c r="K20" s="73"/>
      <c r="L20" s="72">
        <f>SUM(L21:L22)</f>
        <v>117700</v>
      </c>
      <c r="M20" s="74"/>
    </row>
    <row r="21" spans="1:13" ht="12.75">
      <c r="A21" s="62" t="s">
        <v>59</v>
      </c>
      <c r="B21" s="65">
        <f>B12</f>
        <v>0</v>
      </c>
      <c r="C21" s="64"/>
      <c r="D21" s="65">
        <f>D12</f>
        <v>152950</v>
      </c>
      <c r="E21" s="64"/>
      <c r="F21" s="65">
        <f>F12</f>
        <v>152950</v>
      </c>
      <c r="G21" s="64"/>
      <c r="H21" s="65">
        <f>H12</f>
        <v>152950</v>
      </c>
      <c r="I21" s="64"/>
      <c r="J21" s="65">
        <f>J12</f>
        <v>152950</v>
      </c>
      <c r="K21" s="69"/>
      <c r="L21" s="65">
        <f>L12</f>
        <v>101200</v>
      </c>
      <c r="M21" s="70"/>
    </row>
    <row r="22" spans="1:13" ht="12.75">
      <c r="A22" s="62" t="s">
        <v>60</v>
      </c>
      <c r="B22" s="65">
        <v>0</v>
      </c>
      <c r="C22" s="64"/>
      <c r="D22" s="65">
        <v>0</v>
      </c>
      <c r="E22" s="64"/>
      <c r="F22" s="65">
        <v>0</v>
      </c>
      <c r="G22" s="64"/>
      <c r="H22" s="65">
        <v>0</v>
      </c>
      <c r="I22" s="64"/>
      <c r="J22" s="65">
        <v>0</v>
      </c>
      <c r="K22" s="69"/>
      <c r="L22" s="63">
        <f>Paramètres!B6-(Paramètres!B18*(Paramètres!B6-Amort!D7))</f>
        <v>16500</v>
      </c>
      <c r="M22" s="70"/>
    </row>
    <row r="23" spans="1:13" ht="12.75">
      <c r="A23" s="67"/>
      <c r="B23" s="68"/>
      <c r="C23" s="69"/>
      <c r="D23" s="68"/>
      <c r="E23" s="69"/>
      <c r="F23" s="68"/>
      <c r="G23" s="69"/>
      <c r="H23" s="68"/>
      <c r="I23" s="69"/>
      <c r="J23" s="68"/>
      <c r="K23" s="84"/>
      <c r="L23" s="68"/>
      <c r="M23" s="70"/>
    </row>
    <row r="24" spans="1:13" s="61" customFormat="1" ht="13.5">
      <c r="A24" s="75" t="s">
        <v>61</v>
      </c>
      <c r="B24" s="76">
        <f>B20-B16</f>
        <v>-500000</v>
      </c>
      <c r="C24" s="77"/>
      <c r="D24" s="78">
        <f>D20-D16</f>
        <v>132950</v>
      </c>
      <c r="E24" s="77"/>
      <c r="F24" s="78">
        <f>F20-F16</f>
        <v>162950</v>
      </c>
      <c r="G24" s="77"/>
      <c r="H24" s="78">
        <f>H20-H16</f>
        <v>162950</v>
      </c>
      <c r="I24" s="77"/>
      <c r="J24" s="78">
        <f>J20-J16</f>
        <v>162950</v>
      </c>
      <c r="K24" s="77"/>
      <c r="L24" s="78">
        <f>L20-L16</f>
        <v>147700</v>
      </c>
      <c r="M24" s="79"/>
    </row>
    <row r="25" spans="1:13" s="61" customFormat="1" ht="14.25" thickBot="1">
      <c r="A25" s="80" t="s">
        <v>62</v>
      </c>
      <c r="B25" s="181"/>
      <c r="C25" s="182"/>
      <c r="D25" s="183">
        <f>D$24*((1+Paramètres!$B$21)^(Paramètres!$B$4-Caslin!D$15))</f>
        <v>151718.03631874998</v>
      </c>
      <c r="E25" s="184"/>
      <c r="F25" s="183">
        <f>F$24*((1+Paramètres!$B$21)^(Paramètres!$B$4-Caslin!F$15))</f>
        <v>177945.47374999998</v>
      </c>
      <c r="G25" s="182"/>
      <c r="H25" s="183">
        <f>H$24*((1+Paramètres!$B$21)^(Paramètres!$B$4-Caslin!H$15))</f>
        <v>170282.75</v>
      </c>
      <c r="I25" s="182"/>
      <c r="J25" s="183">
        <f>J$24*((1+Paramètres!$B$21)^(Paramètres!$B$4-Caslin!J$15))</f>
        <v>162950</v>
      </c>
      <c r="K25" s="182"/>
      <c r="L25" s="183">
        <f>L$24*((1+Paramètres!$B$21)^(Paramètres!$B$4-Caslin!L$15))</f>
        <v>141339.7129186603</v>
      </c>
      <c r="M25" s="185"/>
    </row>
    <row r="26" spans="1:13" s="61" customFormat="1" ht="14.25" thickTop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61" customFormat="1" ht="14.25" thickBo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61" customFormat="1" ht="17.25" thickBot="1" thickTop="1">
      <c r="A28" s="202" t="s">
        <v>130</v>
      </c>
      <c r="B28" s="205"/>
      <c r="C28" s="206"/>
      <c r="D28" s="189"/>
      <c r="E28" s="190"/>
      <c r="F28" s="189"/>
      <c r="G28" s="188"/>
      <c r="H28" s="189"/>
      <c r="I28" s="188"/>
      <c r="J28" s="189"/>
      <c r="K28" s="188"/>
      <c r="L28" s="189"/>
      <c r="M28" s="188"/>
    </row>
    <row r="29" spans="1:13" s="61" customFormat="1" ht="14.25" thickTop="1">
      <c r="A29" s="178" t="s">
        <v>127</v>
      </c>
      <c r="B29" s="179"/>
      <c r="C29" s="180"/>
      <c r="D29" s="211">
        <f>(Paramètres!$B$8*Autofin!$C$1)+(Paramètres!$B$9*'Fonds propres'!$H$30)+(Paramètres!$B$10*'Dettes in fine'!$B$28)</f>
        <v>0.11977350128309218</v>
      </c>
      <c r="E29" s="212"/>
      <c r="F29" s="211">
        <f>(Paramètres!$B$8*Autofin!$C$1)+(Paramètres!$B$9*'Fonds propres'!$H$30)+(Paramètres!$B$10*'Dettes in fine'!$B$28)</f>
        <v>0.11977350128309218</v>
      </c>
      <c r="G29" s="212"/>
      <c r="H29" s="211">
        <f>(Paramètres!$B$8*Autofin!$C$1)+(Paramètres!$B$9*'Fonds propres'!$H$30)+(Paramètres!$B$10*'Dettes in fine'!$B$28)</f>
        <v>0.11977350128309218</v>
      </c>
      <c r="I29" s="212"/>
      <c r="J29" s="211">
        <f>(Paramètres!$B$8*Autofin!$C$1)+(Paramètres!$B$9*'Fonds propres'!$H$30)+(Paramètres!$B$10*'Dettes in fine'!$B$28)</f>
        <v>0.11977350128309218</v>
      </c>
      <c r="K29" s="212"/>
      <c r="L29" s="209">
        <f>(Paramètres!$B$8*Autofin!$C$1)+(Paramètres!$B$9*'Fonds propres'!$H$30)+(Paramètres!$B$10*'Dettes in fine'!$B$28)</f>
        <v>0.11977350128309218</v>
      </c>
      <c r="M29" s="210"/>
    </row>
    <row r="30" spans="1:13" ht="14.25" thickBot="1">
      <c r="A30" s="80" t="s">
        <v>63</v>
      </c>
      <c r="B30" s="81"/>
      <c r="C30" s="82"/>
      <c r="D30" s="130">
        <f>D25/((1+D29)^(Paramètres!$B$4))</f>
        <v>96497.59044063296</v>
      </c>
      <c r="E30" s="131"/>
      <c r="F30" s="130">
        <f>F25/((1+F29)^(Paramètres!$B$4))</f>
        <v>113179.09105161412</v>
      </c>
      <c r="G30" s="131"/>
      <c r="H30" s="130">
        <f>H25/((1+H29)^(Paramètres!$B$4))</f>
        <v>108305.35028862597</v>
      </c>
      <c r="I30" s="131"/>
      <c r="J30" s="130">
        <f>J25/((1+J29)^(Paramètres!$B$4))</f>
        <v>103641.48352978562</v>
      </c>
      <c r="K30" s="131"/>
      <c r="L30" s="130">
        <f>L25/((1+L29)^(Paramètres!$B$4))</f>
        <v>89896.64024893501</v>
      </c>
      <c r="M30" s="132"/>
    </row>
    <row r="31" spans="1:5" ht="17.25" thickBot="1" thickTop="1">
      <c r="A31" s="186" t="s">
        <v>64</v>
      </c>
      <c r="B31" s="191" t="s">
        <v>65</v>
      </c>
      <c r="C31" s="192">
        <f>SUM($D$30:$M$30)+$B$24</f>
        <v>11520.155559593753</v>
      </c>
      <c r="D31" s="191" t="s">
        <v>67</v>
      </c>
      <c r="E31" s="193">
        <f>((-SUM($D$25:$M$25)/$B$24)^(1/Paramètres!$B$4))-1</f>
        <v>0.1261684924847395</v>
      </c>
    </row>
    <row r="32" ht="13.5" thickTop="1">
      <c r="F32" s="1" t="s">
        <v>66</v>
      </c>
    </row>
    <row r="34" ht="13.5" thickBot="1"/>
    <row r="35" spans="1:13" ht="17.25" thickBot="1" thickTop="1">
      <c r="A35" s="202" t="s">
        <v>131</v>
      </c>
      <c r="B35" s="203"/>
      <c r="C35" s="204"/>
      <c r="D35" s="189"/>
      <c r="E35" s="190"/>
      <c r="F35" s="189"/>
      <c r="G35" s="188"/>
      <c r="H35" s="189"/>
      <c r="I35" s="188"/>
      <c r="J35" s="189"/>
      <c r="K35" s="188"/>
      <c r="L35" s="189"/>
      <c r="M35" s="188"/>
    </row>
    <row r="36" spans="1:13" s="61" customFormat="1" ht="14.25" thickTop="1">
      <c r="A36" s="178" t="s">
        <v>127</v>
      </c>
      <c r="B36" s="187"/>
      <c r="C36" s="180"/>
      <c r="D36" s="211">
        <f>(Paramètres!$B$8*Autofin!$C$1)+(Paramètres!$B$9*'Fonds propres'!$H$30)+(Paramètres!$B$10*'Dettes annuité'!$B$27)</f>
        <v>0.12097000422019762</v>
      </c>
      <c r="E36" s="212"/>
      <c r="F36" s="211">
        <f>(Paramètres!$B$8*Autofin!$C$1)+(Paramètres!$B$9*'Fonds propres'!$H$30)+(Paramètres!$B$10*'Dettes annuité'!$B$27)</f>
        <v>0.12097000422019762</v>
      </c>
      <c r="G36" s="212"/>
      <c r="H36" s="211">
        <f>(Paramètres!$B$8*Autofin!$C$1)+(Paramètres!$B$9*'Fonds propres'!$H$30)+(Paramètres!$B$10*'Dettes annuité'!$B$27)</f>
        <v>0.12097000422019762</v>
      </c>
      <c r="I36" s="212"/>
      <c r="J36" s="211">
        <f>(Paramètres!$B$8*Autofin!$C$1)+(Paramètres!$B$9*'Fonds propres'!$H$30)+(Paramètres!$B$10*'Dettes annuité'!$B$27)</f>
        <v>0.12097000422019762</v>
      </c>
      <c r="K36" s="212"/>
      <c r="L36" s="211">
        <f>(Paramètres!$B$8*Autofin!$C$1)+(Paramètres!$B$9*'Fonds propres'!$H$30)+(Paramètres!$B$10*'Dettes annuité'!$B$27)</f>
        <v>0.12097000422019762</v>
      </c>
      <c r="M36" s="213"/>
    </row>
    <row r="37" spans="1:13" ht="14.25" thickBot="1">
      <c r="A37" s="80" t="s">
        <v>63</v>
      </c>
      <c r="B37" s="130"/>
      <c r="C37" s="82"/>
      <c r="D37" s="130">
        <f>D25/((1+D36)^(Paramètres!$B$4))</f>
        <v>96086.25053975104</v>
      </c>
      <c r="E37" s="131"/>
      <c r="F37" s="130">
        <f>F25/((1+F36)^(Paramètres!$B$4))</f>
        <v>112696.64298340335</v>
      </c>
      <c r="G37" s="131"/>
      <c r="H37" s="130">
        <f>H25/((1+H36)^(Paramètres!$B$4))</f>
        <v>107843.67749607978</v>
      </c>
      <c r="I37" s="131"/>
      <c r="J37" s="130">
        <f>J25/((1+J36)^(Paramètres!$B$4))</f>
        <v>103199.6913838084</v>
      </c>
      <c r="K37" s="131"/>
      <c r="L37" s="130">
        <f>L25/((1+L36)^(Paramètres!$B$4))</f>
        <v>89513.43819258559</v>
      </c>
      <c r="M37" s="132"/>
    </row>
    <row r="38" spans="1:13" ht="17.25" thickBot="1" thickTop="1">
      <c r="A38" s="186" t="s">
        <v>64</v>
      </c>
      <c r="B38" s="191" t="s">
        <v>65</v>
      </c>
      <c r="C38" s="192">
        <f>SUM($D$37:$M$37)+$B$24</f>
        <v>9339.700595628121</v>
      </c>
      <c r="D38" s="191" t="s">
        <v>67</v>
      </c>
      <c r="E38" s="193">
        <f>((-SUM($D$25:$M$25)/$B$24)^(1/Paramètres!$B$4))-1</f>
        <v>0.1261684924847395</v>
      </c>
      <c r="F38" s="83"/>
      <c r="G38" s="83"/>
      <c r="H38" s="83"/>
      <c r="I38" s="83"/>
      <c r="J38" s="83"/>
      <c r="K38" s="83"/>
      <c r="L38" s="83"/>
      <c r="M38" s="83"/>
    </row>
    <row r="39" ht="13.5" thickTop="1"/>
  </sheetData>
  <mergeCells count="10">
    <mergeCell ref="L29:M29"/>
    <mergeCell ref="D36:E36"/>
    <mergeCell ref="F36:G36"/>
    <mergeCell ref="H36:I36"/>
    <mergeCell ref="J36:K36"/>
    <mergeCell ref="L36:M36"/>
    <mergeCell ref="D29:E29"/>
    <mergeCell ref="F29:G29"/>
    <mergeCell ref="H29:I29"/>
    <mergeCell ref="J29:K29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&amp;CCas Muyne (Auteur du corrigé : Jean-François Gueugnon)</oddHeader>
    <oddFooter>&amp;CCalcul des flux nets de trésorerie annuels et des critères de rentabilité en cas d'amortissement linéaire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workbookViewId="0" topLeftCell="A1">
      <selection activeCell="H5" sqref="H5"/>
    </sheetView>
  </sheetViews>
  <sheetFormatPr defaultColWidth="11.421875" defaultRowHeight="12.75"/>
  <cols>
    <col min="1" max="1" width="36.421875" style="1" customWidth="1"/>
    <col min="2" max="2" width="13.8515625" style="1" customWidth="1"/>
    <col min="3" max="3" width="14.8515625" style="1" bestFit="1" customWidth="1"/>
    <col min="4" max="4" width="12.421875" style="1" customWidth="1"/>
    <col min="5" max="5" width="12.140625" style="1" customWidth="1"/>
    <col min="6" max="6" width="11.28125" style="1" customWidth="1"/>
    <col min="7" max="7" width="11.57421875" style="1" customWidth="1"/>
    <col min="8" max="8" width="11.28125" style="1" customWidth="1"/>
    <col min="9" max="9" width="11.57421875" style="1" customWidth="1"/>
    <col min="10" max="10" width="11.28125" style="1" customWidth="1"/>
    <col min="11" max="11" width="11.57421875" style="1" customWidth="1"/>
    <col min="12" max="12" width="11.28125" style="1" customWidth="1"/>
    <col min="13" max="13" width="11.57421875" style="1" customWidth="1"/>
    <col min="14" max="16384" width="11.421875" style="1" customWidth="1"/>
  </cols>
  <sheetData>
    <row r="1" spans="1:13" ht="13.5" thickBot="1">
      <c r="A1" s="29"/>
      <c r="B1" s="30" t="s">
        <v>39</v>
      </c>
      <c r="C1" s="31"/>
      <c r="D1" s="30" t="s">
        <v>40</v>
      </c>
      <c r="E1" s="31"/>
      <c r="F1" s="30" t="s">
        <v>41</v>
      </c>
      <c r="G1" s="31"/>
      <c r="H1" s="30" t="s">
        <v>42</v>
      </c>
      <c r="I1" s="31"/>
      <c r="J1" s="30" t="s">
        <v>43</v>
      </c>
      <c r="K1" s="31"/>
      <c r="L1" s="30" t="s">
        <v>44</v>
      </c>
      <c r="M1" s="31"/>
    </row>
    <row r="2" spans="1:13" s="5" customFormat="1" ht="13.5" thickBot="1">
      <c r="A2" s="32"/>
      <c r="B2" s="33" t="s">
        <v>45</v>
      </c>
      <c r="C2" s="34" t="s">
        <v>46</v>
      </c>
      <c r="D2" s="33" t="s">
        <v>45</v>
      </c>
      <c r="E2" s="34" t="s">
        <v>46</v>
      </c>
      <c r="F2" s="33" t="s">
        <v>45</v>
      </c>
      <c r="G2" s="34" t="s">
        <v>46</v>
      </c>
      <c r="H2" s="33" t="s">
        <v>45</v>
      </c>
      <c r="I2" s="34" t="s">
        <v>46</v>
      </c>
      <c r="J2" s="33" t="s">
        <v>45</v>
      </c>
      <c r="K2" s="34" t="s">
        <v>46</v>
      </c>
      <c r="L2" s="33" t="s">
        <v>45</v>
      </c>
      <c r="M2" s="34" t="s">
        <v>46</v>
      </c>
    </row>
    <row r="3" spans="1:13" ht="12.75">
      <c r="A3" s="35" t="s">
        <v>47</v>
      </c>
      <c r="B3" s="36">
        <v>0</v>
      </c>
      <c r="C3" s="37">
        <v>0</v>
      </c>
      <c r="D3" s="36">
        <f>Paramètres!$B12*Paramètres!$B13</f>
        <v>800000</v>
      </c>
      <c r="E3" s="37">
        <v>0</v>
      </c>
      <c r="F3" s="36">
        <f>Paramètres!$B12*Paramètres!$B13</f>
        <v>800000</v>
      </c>
      <c r="G3" s="37">
        <v>0</v>
      </c>
      <c r="H3" s="36">
        <f>Paramètres!$B12*Paramètres!$B13</f>
        <v>800000</v>
      </c>
      <c r="I3" s="37">
        <v>0</v>
      </c>
      <c r="J3" s="36">
        <f>Paramètres!$B12*Paramètres!$B13</f>
        <v>800000</v>
      </c>
      <c r="K3" s="37">
        <v>0</v>
      </c>
      <c r="L3" s="36">
        <f>Paramètres!$B12*Paramètres!$B13</f>
        <v>800000</v>
      </c>
      <c r="M3" s="37">
        <v>0</v>
      </c>
    </row>
    <row r="4" spans="1:13" ht="12.75">
      <c r="A4" s="38" t="s">
        <v>48</v>
      </c>
      <c r="B4" s="39">
        <v>0</v>
      </c>
      <c r="C4" s="40">
        <v>0</v>
      </c>
      <c r="D4" s="39">
        <f>Paramètres!$B14*Paramètres!$B12</f>
        <v>492000</v>
      </c>
      <c r="E4" s="40">
        <v>0</v>
      </c>
      <c r="F4" s="39">
        <f>Paramètres!$B14*Paramètres!$B12</f>
        <v>492000</v>
      </c>
      <c r="G4" s="40">
        <v>0</v>
      </c>
      <c r="H4" s="39">
        <f>Paramètres!$B14*Paramètres!$B12</f>
        <v>492000</v>
      </c>
      <c r="I4" s="40">
        <v>0</v>
      </c>
      <c r="J4" s="39">
        <f>Paramètres!$B14*Paramètres!$B12</f>
        <v>492000</v>
      </c>
      <c r="K4" s="40">
        <v>0</v>
      </c>
      <c r="L4" s="39">
        <f>Paramètres!$B14*Paramètres!$B12</f>
        <v>492000</v>
      </c>
      <c r="M4" s="40">
        <v>0</v>
      </c>
    </row>
    <row r="5" spans="1:13" ht="12.75">
      <c r="A5" s="38" t="s">
        <v>49</v>
      </c>
      <c r="B5" s="39">
        <v>0</v>
      </c>
      <c r="C5" s="40">
        <v>0</v>
      </c>
      <c r="D5" s="39">
        <f>Paramètres!$B15*Paramètres!$B12</f>
        <v>124000</v>
      </c>
      <c r="E5" s="40">
        <v>0</v>
      </c>
      <c r="F5" s="39">
        <f>Paramètres!$B15*Paramètres!$B12</f>
        <v>124000</v>
      </c>
      <c r="G5" s="40">
        <v>0</v>
      </c>
      <c r="H5" s="39">
        <f>Paramètres!$B15*Paramètres!$B12</f>
        <v>124000</v>
      </c>
      <c r="I5" s="40">
        <v>0</v>
      </c>
      <c r="J5" s="39">
        <f>Paramètres!$B15*Paramètres!$B12</f>
        <v>124000</v>
      </c>
      <c r="K5" s="40">
        <v>0</v>
      </c>
      <c r="L5" s="39">
        <f>Paramètres!$B15*Paramètres!$B12</f>
        <v>124000</v>
      </c>
      <c r="M5" s="40">
        <v>0</v>
      </c>
    </row>
    <row r="6" spans="1:13" ht="12.75">
      <c r="A6" s="38" t="s">
        <v>50</v>
      </c>
      <c r="B6" s="39">
        <v>0</v>
      </c>
      <c r="C6" s="40">
        <v>0</v>
      </c>
      <c r="D6" s="39">
        <f>Amort!C12</f>
        <v>230000</v>
      </c>
      <c r="E6" s="40">
        <v>0</v>
      </c>
      <c r="F6" s="39">
        <f>Amort!C13</f>
        <v>115000</v>
      </c>
      <c r="G6" s="40">
        <v>0</v>
      </c>
      <c r="H6" s="39">
        <f>Amort!C14</f>
        <v>57500</v>
      </c>
      <c r="I6" s="40">
        <v>0</v>
      </c>
      <c r="J6" s="39">
        <f>Amort!C15</f>
        <v>57500</v>
      </c>
      <c r="K6" s="40">
        <v>0</v>
      </c>
      <c r="L6" s="39">
        <f>Amort!C16</f>
        <v>0</v>
      </c>
      <c r="M6" s="40">
        <v>0</v>
      </c>
    </row>
    <row r="7" spans="1:13" ht="12.75">
      <c r="A7" s="41" t="s">
        <v>51</v>
      </c>
      <c r="B7" s="42">
        <f aca="true" t="shared" si="0" ref="B7:M7">B3-B4-B5-B6</f>
        <v>0</v>
      </c>
      <c r="C7" s="43">
        <f t="shared" si="0"/>
        <v>0</v>
      </c>
      <c r="D7" s="42">
        <f t="shared" si="0"/>
        <v>-46000</v>
      </c>
      <c r="E7" s="43">
        <f t="shared" si="0"/>
        <v>0</v>
      </c>
      <c r="F7" s="42">
        <f t="shared" si="0"/>
        <v>69000</v>
      </c>
      <c r="G7" s="43">
        <f t="shared" si="0"/>
        <v>0</v>
      </c>
      <c r="H7" s="42">
        <f t="shared" si="0"/>
        <v>126500</v>
      </c>
      <c r="I7" s="43">
        <f t="shared" si="0"/>
        <v>0</v>
      </c>
      <c r="J7" s="42">
        <f t="shared" si="0"/>
        <v>126500</v>
      </c>
      <c r="K7" s="43">
        <f t="shared" si="0"/>
        <v>0</v>
      </c>
      <c r="L7" s="42">
        <f t="shared" si="0"/>
        <v>184000</v>
      </c>
      <c r="M7" s="43">
        <f t="shared" si="0"/>
        <v>0</v>
      </c>
    </row>
    <row r="8" spans="1:13" ht="12.75">
      <c r="A8" s="38" t="s">
        <v>52</v>
      </c>
      <c r="B8" s="39">
        <f>Paramètres!$B17*B7</f>
        <v>0</v>
      </c>
      <c r="C8" s="40">
        <v>0</v>
      </c>
      <c r="D8" s="39">
        <f>Paramètres!$B17*D7</f>
        <v>-20700</v>
      </c>
      <c r="E8" s="40">
        <v>0</v>
      </c>
      <c r="F8" s="39">
        <f>Paramètres!$B17*F7</f>
        <v>31050</v>
      </c>
      <c r="G8" s="40">
        <v>0</v>
      </c>
      <c r="H8" s="39">
        <f>Paramètres!$B17*H7</f>
        <v>56925</v>
      </c>
      <c r="I8" s="40">
        <v>0</v>
      </c>
      <c r="J8" s="39">
        <f>Paramètres!$B17*J7</f>
        <v>56925</v>
      </c>
      <c r="K8" s="40">
        <v>0</v>
      </c>
      <c r="L8" s="39">
        <f>Paramètres!$B17*L7</f>
        <v>82800</v>
      </c>
      <c r="M8" s="40">
        <v>0</v>
      </c>
    </row>
    <row r="9" spans="1:13" ht="12.75">
      <c r="A9" s="38" t="s">
        <v>53</v>
      </c>
      <c r="B9" s="39">
        <f aca="true" t="shared" si="1" ref="B9:M9">B7-B8</f>
        <v>0</v>
      </c>
      <c r="C9" s="40">
        <f t="shared" si="1"/>
        <v>0</v>
      </c>
      <c r="D9" s="39">
        <f t="shared" si="1"/>
        <v>-25300</v>
      </c>
      <c r="E9" s="40">
        <f t="shared" si="1"/>
        <v>0</v>
      </c>
      <c r="F9" s="39">
        <f t="shared" si="1"/>
        <v>37950</v>
      </c>
      <c r="G9" s="40">
        <f t="shared" si="1"/>
        <v>0</v>
      </c>
      <c r="H9" s="39">
        <f t="shared" si="1"/>
        <v>69575</v>
      </c>
      <c r="I9" s="40">
        <f t="shared" si="1"/>
        <v>0</v>
      </c>
      <c r="J9" s="39">
        <f t="shared" si="1"/>
        <v>69575</v>
      </c>
      <c r="K9" s="40">
        <f t="shared" si="1"/>
        <v>0</v>
      </c>
      <c r="L9" s="39">
        <f t="shared" si="1"/>
        <v>101200</v>
      </c>
      <c r="M9" s="40">
        <f t="shared" si="1"/>
        <v>0</v>
      </c>
    </row>
    <row r="10" spans="1:13" ht="12.75">
      <c r="A10" s="38" t="s">
        <v>50</v>
      </c>
      <c r="B10" s="39">
        <f aca="true" t="shared" si="2" ref="B10:M10">B6</f>
        <v>0</v>
      </c>
      <c r="C10" s="40">
        <f t="shared" si="2"/>
        <v>0</v>
      </c>
      <c r="D10" s="39">
        <f t="shared" si="2"/>
        <v>230000</v>
      </c>
      <c r="E10" s="40">
        <f t="shared" si="2"/>
        <v>0</v>
      </c>
      <c r="F10" s="39">
        <f t="shared" si="2"/>
        <v>115000</v>
      </c>
      <c r="G10" s="40">
        <f t="shared" si="2"/>
        <v>0</v>
      </c>
      <c r="H10" s="39">
        <f t="shared" si="2"/>
        <v>57500</v>
      </c>
      <c r="I10" s="40">
        <f t="shared" si="2"/>
        <v>0</v>
      </c>
      <c r="J10" s="39">
        <f t="shared" si="2"/>
        <v>57500</v>
      </c>
      <c r="K10" s="40">
        <f t="shared" si="2"/>
        <v>0</v>
      </c>
      <c r="L10" s="39">
        <f t="shared" si="2"/>
        <v>0</v>
      </c>
      <c r="M10" s="40">
        <f t="shared" si="2"/>
        <v>0</v>
      </c>
    </row>
    <row r="11" spans="1:13" ht="13.5" thickBot="1">
      <c r="A11" s="41" t="s">
        <v>54</v>
      </c>
      <c r="B11" s="42">
        <f aca="true" t="shared" si="3" ref="B11:M11">B9+B10</f>
        <v>0</v>
      </c>
      <c r="C11" s="43">
        <f t="shared" si="3"/>
        <v>0</v>
      </c>
      <c r="D11" s="42">
        <f t="shared" si="3"/>
        <v>204700</v>
      </c>
      <c r="E11" s="43">
        <f t="shared" si="3"/>
        <v>0</v>
      </c>
      <c r="F11" s="42">
        <f t="shared" si="3"/>
        <v>152950</v>
      </c>
      <c r="G11" s="43">
        <f t="shared" si="3"/>
        <v>0</v>
      </c>
      <c r="H11" s="42">
        <f t="shared" si="3"/>
        <v>127075</v>
      </c>
      <c r="I11" s="43">
        <f t="shared" si="3"/>
        <v>0</v>
      </c>
      <c r="J11" s="42">
        <f t="shared" si="3"/>
        <v>127075</v>
      </c>
      <c r="K11" s="43">
        <f t="shared" si="3"/>
        <v>0</v>
      </c>
      <c r="L11" s="42">
        <f t="shared" si="3"/>
        <v>101200</v>
      </c>
      <c r="M11" s="43">
        <f t="shared" si="3"/>
        <v>0</v>
      </c>
    </row>
    <row r="12" spans="1:13" ht="13.5" thickBot="1">
      <c r="A12" s="85" t="s">
        <v>55</v>
      </c>
      <c r="B12" s="86">
        <f>B11-C11</f>
        <v>0</v>
      </c>
      <c r="C12" s="87"/>
      <c r="D12" s="86">
        <f>D11-E11</f>
        <v>204700</v>
      </c>
      <c r="E12" s="87"/>
      <c r="F12" s="86">
        <f>F11-G11</f>
        <v>152950</v>
      </c>
      <c r="G12" s="87"/>
      <c r="H12" s="86">
        <f>H11-I11</f>
        <v>127075</v>
      </c>
      <c r="I12" s="87"/>
      <c r="J12" s="86">
        <f>J11-K11</f>
        <v>127075</v>
      </c>
      <c r="K12" s="87"/>
      <c r="L12" s="86">
        <f>L11-M11</f>
        <v>101200</v>
      </c>
      <c r="M12" s="87"/>
    </row>
    <row r="13" spans="1:13" s="46" customFormat="1" ht="13.5" thickBo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4.25" thickBot="1" thickTop="1">
      <c r="A14" s="47"/>
      <c r="B14" s="48" t="s">
        <v>15</v>
      </c>
      <c r="C14" s="49"/>
      <c r="D14" s="48" t="s">
        <v>15</v>
      </c>
      <c r="E14" s="49"/>
      <c r="F14" s="48" t="s">
        <v>41</v>
      </c>
      <c r="G14" s="49"/>
      <c r="H14" s="48" t="s">
        <v>42</v>
      </c>
      <c r="I14" s="49"/>
      <c r="J14" s="48" t="s">
        <v>43</v>
      </c>
      <c r="K14" s="49"/>
      <c r="L14" s="48" t="s">
        <v>44</v>
      </c>
      <c r="M14" s="50"/>
    </row>
    <row r="15" spans="1:13" ht="13.5" thickBot="1">
      <c r="A15" s="51"/>
      <c r="B15" s="52">
        <v>0</v>
      </c>
      <c r="C15" s="53"/>
      <c r="D15" s="54">
        <v>1</v>
      </c>
      <c r="E15" s="55"/>
      <c r="F15" s="54">
        <v>2</v>
      </c>
      <c r="G15" s="55"/>
      <c r="H15" s="54">
        <v>3</v>
      </c>
      <c r="I15" s="55"/>
      <c r="J15" s="54">
        <v>4</v>
      </c>
      <c r="K15" s="55"/>
      <c r="L15" s="54">
        <v>5</v>
      </c>
      <c r="M15" s="56"/>
    </row>
    <row r="16" spans="1:13" s="61" customFormat="1" ht="13.5">
      <c r="A16" s="57" t="s">
        <v>56</v>
      </c>
      <c r="B16" s="58">
        <f>SUM(B17:B19)</f>
        <v>500000</v>
      </c>
      <c r="C16" s="59"/>
      <c r="D16" s="58">
        <f>SUM(D17:D19)</f>
        <v>20000</v>
      </c>
      <c r="E16" s="59"/>
      <c r="F16" s="58">
        <f>SUM(F17:F19)</f>
        <v>-10000</v>
      </c>
      <c r="G16" s="59"/>
      <c r="H16" s="58">
        <f>SUM(H17:H19)</f>
        <v>-10000</v>
      </c>
      <c r="I16" s="59"/>
      <c r="J16" s="58">
        <f>SUM(J17:J19)</f>
        <v>-10000</v>
      </c>
      <c r="K16" s="59"/>
      <c r="L16" s="58">
        <f>SUM(L17:L19)</f>
        <v>-30000</v>
      </c>
      <c r="M16" s="60"/>
    </row>
    <row r="17" spans="1:13" ht="12.75">
      <c r="A17" s="62" t="s">
        <v>57</v>
      </c>
      <c r="B17" s="63">
        <f>Paramètres!B2</f>
        <v>460000</v>
      </c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6"/>
    </row>
    <row r="18" spans="1:13" ht="12.75">
      <c r="A18" s="67" t="s">
        <v>140</v>
      </c>
      <c r="B18" s="65">
        <v>40000</v>
      </c>
      <c r="C18" s="64"/>
      <c r="D18" s="65">
        <v>20000</v>
      </c>
      <c r="E18" s="64"/>
      <c r="F18" s="65">
        <v>-10000</v>
      </c>
      <c r="G18" s="64"/>
      <c r="H18" s="65">
        <v>-10000</v>
      </c>
      <c r="I18" s="64"/>
      <c r="J18" s="65">
        <v>-10000</v>
      </c>
      <c r="K18" s="64"/>
      <c r="L18" s="65">
        <f>-(SUM(D18:K18)+B18)</f>
        <v>-30000</v>
      </c>
      <c r="M18" s="66"/>
    </row>
    <row r="19" spans="1:13" ht="12.75">
      <c r="A19" s="67"/>
      <c r="B19" s="68"/>
      <c r="C19" s="69"/>
      <c r="D19" s="68"/>
      <c r="E19" s="69"/>
      <c r="F19" s="68"/>
      <c r="G19" s="69"/>
      <c r="H19" s="68"/>
      <c r="I19" s="69"/>
      <c r="J19" s="68"/>
      <c r="K19" s="69"/>
      <c r="L19" s="68"/>
      <c r="M19" s="70"/>
    </row>
    <row r="20" spans="1:13" ht="13.5">
      <c r="A20" s="71" t="s">
        <v>58</v>
      </c>
      <c r="B20" s="72">
        <f>SUM(B21:B22)</f>
        <v>0</v>
      </c>
      <c r="C20" s="73"/>
      <c r="D20" s="72">
        <f>SUM(D21:D22)</f>
        <v>204700</v>
      </c>
      <c r="E20" s="73"/>
      <c r="F20" s="72">
        <f>SUM(F21:F22)</f>
        <v>152950</v>
      </c>
      <c r="G20" s="73"/>
      <c r="H20" s="72">
        <f>SUM(H21:H22)</f>
        <v>127075</v>
      </c>
      <c r="I20" s="73"/>
      <c r="J20" s="72">
        <f>SUM(J21:J22)</f>
        <v>127075</v>
      </c>
      <c r="K20" s="73"/>
      <c r="L20" s="72">
        <f>SUM(L21:L22)</f>
        <v>117700</v>
      </c>
      <c r="M20" s="74"/>
    </row>
    <row r="21" spans="1:13" ht="12.75">
      <c r="A21" s="62" t="s">
        <v>59</v>
      </c>
      <c r="B21" s="65">
        <f>B12</f>
        <v>0</v>
      </c>
      <c r="C21" s="64"/>
      <c r="D21" s="65">
        <f>D12</f>
        <v>204700</v>
      </c>
      <c r="E21" s="64"/>
      <c r="F21" s="65">
        <f>F12</f>
        <v>152950</v>
      </c>
      <c r="G21" s="64"/>
      <c r="H21" s="65">
        <f>H12</f>
        <v>127075</v>
      </c>
      <c r="I21" s="64"/>
      <c r="J21" s="65">
        <f>J12</f>
        <v>127075</v>
      </c>
      <c r="K21" s="69"/>
      <c r="L21" s="65">
        <f>L12</f>
        <v>101200</v>
      </c>
      <c r="M21" s="70"/>
    </row>
    <row r="22" spans="1:13" ht="12.75">
      <c r="A22" s="62" t="s">
        <v>60</v>
      </c>
      <c r="B22" s="65">
        <v>0</v>
      </c>
      <c r="C22" s="64"/>
      <c r="D22" s="65">
        <v>0</v>
      </c>
      <c r="E22" s="64"/>
      <c r="F22" s="65">
        <v>0</v>
      </c>
      <c r="G22" s="64"/>
      <c r="H22" s="65">
        <v>0</v>
      </c>
      <c r="I22" s="64"/>
      <c r="J22" s="65">
        <v>0</v>
      </c>
      <c r="K22" s="69"/>
      <c r="L22" s="63">
        <f>Paramètres!B6-(Paramètres!B18*(Paramètres!B6-Amort!D7))</f>
        <v>16500</v>
      </c>
      <c r="M22" s="70"/>
    </row>
    <row r="23" spans="1:13" ht="12.75">
      <c r="A23" s="67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6"/>
    </row>
    <row r="24" spans="1:13" s="61" customFormat="1" ht="13.5">
      <c r="A24" s="75" t="s">
        <v>61</v>
      </c>
      <c r="B24" s="76">
        <f>B20-B16</f>
        <v>-500000</v>
      </c>
      <c r="C24" s="77"/>
      <c r="D24" s="78">
        <f>D20-D16</f>
        <v>184700</v>
      </c>
      <c r="E24" s="77"/>
      <c r="F24" s="78">
        <f>F20-F16</f>
        <v>162950</v>
      </c>
      <c r="G24" s="77"/>
      <c r="H24" s="78">
        <f>H20-H16</f>
        <v>137075</v>
      </c>
      <c r="I24" s="77"/>
      <c r="J24" s="78">
        <f>J20-J16</f>
        <v>137075</v>
      </c>
      <c r="K24" s="77"/>
      <c r="L24" s="78">
        <f>L20-L16</f>
        <v>147700</v>
      </c>
      <c r="M24" s="79"/>
    </row>
    <row r="25" spans="1:13" s="61" customFormat="1" ht="14.25" thickBot="1">
      <c r="A25" s="80" t="s">
        <v>62</v>
      </c>
      <c r="B25" s="181"/>
      <c r="C25" s="182"/>
      <c r="D25" s="183">
        <f>D$24*((1+Paramètres!$B$21)^(Paramètres!$B$4-Caslin!D$15))</f>
        <v>210773.38328749998</v>
      </c>
      <c r="E25" s="184"/>
      <c r="F25" s="183">
        <f>F$24*((1+Paramètres!$B$21)^(Paramètres!$B$4-Caslin!F$15))</f>
        <v>177945.47374999998</v>
      </c>
      <c r="G25" s="182"/>
      <c r="H25" s="183">
        <f>H$24*((1+Paramètres!$B$21)^(Paramètres!$B$4-Caslin!H$15))</f>
        <v>143243.375</v>
      </c>
      <c r="I25" s="182"/>
      <c r="J25" s="183">
        <f>J$24*((1+Paramètres!$B$21)^(Paramètres!$B$4-Caslin!J$15))</f>
        <v>137075</v>
      </c>
      <c r="K25" s="182"/>
      <c r="L25" s="183">
        <f>L$24*((1+Paramètres!$B$21)^(Paramètres!$B$4-Caslin!L$15))</f>
        <v>141339.7129186603</v>
      </c>
      <c r="M25" s="185"/>
    </row>
    <row r="26" spans="1:13" s="61" customFormat="1" ht="14.25" thickTop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61" customFormat="1" ht="14.25" thickBo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61" customFormat="1" ht="17.25" thickBot="1" thickTop="1">
      <c r="A28" s="202" t="s">
        <v>130</v>
      </c>
      <c r="B28" s="205"/>
      <c r="C28" s="206"/>
      <c r="D28" s="189"/>
      <c r="E28" s="190"/>
      <c r="F28" s="189"/>
      <c r="G28" s="188"/>
      <c r="H28" s="189"/>
      <c r="I28" s="188"/>
      <c r="J28" s="189"/>
      <c r="K28" s="188"/>
      <c r="L28" s="189"/>
      <c r="M28" s="188"/>
    </row>
    <row r="29" spans="1:13" s="61" customFormat="1" ht="14.25" thickTop="1">
      <c r="A29" s="178" t="s">
        <v>127</v>
      </c>
      <c r="B29" s="179"/>
      <c r="C29" s="180"/>
      <c r="D29" s="211">
        <f>(Paramètres!$B$8*Autofin!$C$1)+(Paramètres!$B$9*'Fonds propres'!$H$30)+(Paramètres!$B$10*'Dettes in fine'!$B$28)</f>
        <v>0.11977350128309218</v>
      </c>
      <c r="E29" s="212"/>
      <c r="F29" s="211">
        <f>(Paramètres!$B$8*Autofin!$C$1)+(Paramètres!$B$9*'Fonds propres'!$H$30)+(Paramètres!$B$10*'Dettes in fine'!$B$28)</f>
        <v>0.11977350128309218</v>
      </c>
      <c r="G29" s="212"/>
      <c r="H29" s="211">
        <f>(Paramètres!$B$8*Autofin!$C$1)+(Paramètres!$B$9*'Fonds propres'!$H$30)+(Paramètres!$B$10*'Dettes in fine'!$B$28)</f>
        <v>0.11977350128309218</v>
      </c>
      <c r="I29" s="212"/>
      <c r="J29" s="211">
        <f>(Paramètres!$B$8*Autofin!$C$1)+(Paramètres!$B$9*'Fonds propres'!$H$30)+(Paramètres!$B$10*'Dettes in fine'!$B$28)</f>
        <v>0.11977350128309218</v>
      </c>
      <c r="K29" s="212"/>
      <c r="L29" s="211">
        <f>(Paramètres!$B$8*Autofin!$C$1)+(Paramètres!$B$9*'Fonds propres'!$H$30)+(Paramètres!$B$10*'Dettes in fine'!$B$28)</f>
        <v>0.11977350128309218</v>
      </c>
      <c r="M29" s="213"/>
    </row>
    <row r="30" spans="1:13" ht="14.25" thickBot="1">
      <c r="A30" s="80" t="s">
        <v>63</v>
      </c>
      <c r="B30" s="81"/>
      <c r="C30" s="82"/>
      <c r="D30" s="130">
        <f>D25/((1+D29)^(Paramètres!$B$4))</f>
        <v>134058.705937457</v>
      </c>
      <c r="E30" s="131"/>
      <c r="F30" s="130">
        <f>F25/((1+F29)^(Paramètres!$B$4))</f>
        <v>113179.09105161412</v>
      </c>
      <c r="G30" s="131"/>
      <c r="H30" s="130">
        <f>H25/((1+H29)^(Paramètres!$B$4))</f>
        <v>91107.43105746183</v>
      </c>
      <c r="I30" s="131"/>
      <c r="J30" s="130">
        <f>J25/((1+J29)^(Paramètres!$B$4))</f>
        <v>87184.14455259504</v>
      </c>
      <c r="K30" s="131"/>
      <c r="L30" s="130">
        <f>L25/((1+L29)^(Paramètres!$B$4))</f>
        <v>89896.64024893501</v>
      </c>
      <c r="M30" s="132"/>
    </row>
    <row r="31" spans="1:5" ht="17.25" thickBot="1" thickTop="1">
      <c r="A31" s="186" t="s">
        <v>64</v>
      </c>
      <c r="B31" s="191" t="s">
        <v>65</v>
      </c>
      <c r="C31" s="192">
        <f>SUM($D$30:$M$30)+$B$24</f>
        <v>15426.012848063023</v>
      </c>
      <c r="D31" s="191" t="s">
        <v>67</v>
      </c>
      <c r="E31" s="193">
        <f>((-SUM($D$25:$M$25)/$B$24)^(1/Paramètres!$B$4))-1</f>
        <v>0.12831215876462365</v>
      </c>
    </row>
    <row r="32" ht="13.5" thickTop="1">
      <c r="F32" s="1" t="s">
        <v>66</v>
      </c>
    </row>
    <row r="34" ht="13.5" thickBot="1"/>
    <row r="35" spans="1:13" ht="17.25" thickBot="1" thickTop="1">
      <c r="A35" s="202" t="s">
        <v>131</v>
      </c>
      <c r="B35" s="205"/>
      <c r="C35" s="206"/>
      <c r="D35" s="189"/>
      <c r="E35" s="190"/>
      <c r="F35" s="189"/>
      <c r="G35" s="188"/>
      <c r="H35" s="189"/>
      <c r="I35" s="188"/>
      <c r="J35" s="189"/>
      <c r="K35" s="188"/>
      <c r="L35" s="189"/>
      <c r="M35" s="188"/>
    </row>
    <row r="36" spans="1:13" s="61" customFormat="1" ht="14.25" thickTop="1">
      <c r="A36" s="178" t="s">
        <v>127</v>
      </c>
      <c r="B36" s="179"/>
      <c r="C36" s="180"/>
      <c r="D36" s="211">
        <f>(Paramètres!$B$8*Autofin!$C$1)+(Paramètres!$B$9*'Fonds propres'!$H$30)+(Paramètres!$B$10*'Dettes annuité'!$B$27)</f>
        <v>0.12097000422019762</v>
      </c>
      <c r="E36" s="212"/>
      <c r="F36" s="211">
        <f>(Paramètres!$B$8*Autofin!$C$1)+(Paramètres!$B$9*'Fonds propres'!$H$30)+(Paramètres!$B$10*'Dettes annuité'!$B$27)</f>
        <v>0.12097000422019762</v>
      </c>
      <c r="G36" s="212"/>
      <c r="H36" s="211">
        <f>(Paramètres!$B$8*Autofin!$C$1)+(Paramètres!$B$9*'Fonds propres'!$H$30)+(Paramètres!$B$10*'Dettes annuité'!$B$27)</f>
        <v>0.12097000422019762</v>
      </c>
      <c r="I36" s="212"/>
      <c r="J36" s="211">
        <f>(Paramètres!$B$8*Autofin!$C$1)+(Paramètres!$B$9*'Fonds propres'!$H$30)+(Paramètres!$B$10*'Dettes annuité'!$B$27)</f>
        <v>0.12097000422019762</v>
      </c>
      <c r="K36" s="212"/>
      <c r="L36" s="211">
        <f>(Paramètres!$B$8*Autofin!$C$1)+(Paramètres!$B$9*'Fonds propres'!$H$30)+(Paramètres!$B$10*'Dettes annuité'!$B$27)</f>
        <v>0.12097000422019762</v>
      </c>
      <c r="M36" s="213"/>
    </row>
    <row r="37" spans="1:13" ht="14.25" thickBot="1">
      <c r="A37" s="80" t="s">
        <v>63</v>
      </c>
      <c r="B37" s="81"/>
      <c r="C37" s="82"/>
      <c r="D37" s="130">
        <f>D25/((1+D36)^(Paramètres!$B$4))</f>
        <v>133487.25441663797</v>
      </c>
      <c r="E37" s="131"/>
      <c r="F37" s="130">
        <f>F25/((1+F36)^(Paramètres!$B$4))</f>
        <v>112696.64298340335</v>
      </c>
      <c r="G37" s="131"/>
      <c r="H37" s="130">
        <f>H25/((1+H36)^(Paramètres!$B$4))</f>
        <v>90719.06776787441</v>
      </c>
      <c r="I37" s="131"/>
      <c r="J37" s="130">
        <f>J25/((1+J36)^(Paramètres!$B$4))</f>
        <v>86812.50504102814</v>
      </c>
      <c r="K37" s="131"/>
      <c r="L37" s="130">
        <f>L25/((1+L36)^(Paramètres!$B$4))</f>
        <v>89513.43819258559</v>
      </c>
      <c r="M37" s="132"/>
    </row>
    <row r="38" spans="1:13" ht="17.25" thickBot="1" thickTop="1">
      <c r="A38" s="186" t="s">
        <v>64</v>
      </c>
      <c r="B38" s="191" t="s">
        <v>65</v>
      </c>
      <c r="C38" s="192">
        <f>SUM($D$37:$M$37)+$B$24</f>
        <v>13228.90840152948</v>
      </c>
      <c r="D38" s="191" t="s">
        <v>67</v>
      </c>
      <c r="E38" s="193">
        <f>((-SUM($D$25:$M$25)/$B$24)^(1/Paramètres!$B$4))-1</f>
        <v>0.12831215876462365</v>
      </c>
      <c r="F38" s="83"/>
      <c r="G38" s="83"/>
      <c r="H38" s="83"/>
      <c r="I38" s="83"/>
      <c r="J38" s="83"/>
      <c r="K38" s="83"/>
      <c r="L38" s="83"/>
      <c r="M38" s="83"/>
    </row>
    <row r="39" ht="13.5" thickTop="1"/>
  </sheetData>
  <mergeCells count="10">
    <mergeCell ref="L29:M29"/>
    <mergeCell ref="D29:E29"/>
    <mergeCell ref="F29:G29"/>
    <mergeCell ref="H29:I29"/>
    <mergeCell ref="J29:K29"/>
    <mergeCell ref="L36:M36"/>
    <mergeCell ref="D36:E36"/>
    <mergeCell ref="F36:G36"/>
    <mergeCell ref="H36:I36"/>
    <mergeCell ref="J36:K36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&amp;CCas Muyne (Auteur du corrigé : Jean-François Gueugnon)</oddHeader>
    <oddFooter>&amp;CCalcul des flux nets de trésorerie annuels et des critères de rentabilité en cas d'amortissement dégressif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Gueugnon</cp:lastModifiedBy>
  <cp:lastPrinted>2007-07-12T01:31:58Z</cp:lastPrinted>
  <dcterms:created xsi:type="dcterms:W3CDTF">2007-07-12T00:59:44Z</dcterms:created>
  <dcterms:modified xsi:type="dcterms:W3CDTF">2007-07-12T01:32:07Z</dcterms:modified>
  <cp:category/>
  <cp:version/>
  <cp:contentType/>
  <cp:contentStatus/>
</cp:coreProperties>
</file>