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9135" windowHeight="5220" activeTab="0"/>
  </bookViews>
  <sheets>
    <sheet name="Param" sheetId="1" r:id="rId1"/>
    <sheet name="Scénario1" sheetId="2" r:id="rId2"/>
    <sheet name="Scénario2" sheetId="3" r:id="rId3"/>
    <sheet name="Scénario3" sheetId="4" r:id="rId4"/>
    <sheet name="Feuil8" sheetId="5" r:id="rId5"/>
    <sheet name="Feuil9" sheetId="6" r:id="rId6"/>
    <sheet name="Feuil10" sheetId="7" r:id="rId7"/>
    <sheet name="Feuil11" sheetId="8" r:id="rId8"/>
    <sheet name="Feuil12" sheetId="9" r:id="rId9"/>
    <sheet name="Feuil13" sheetId="10" r:id="rId10"/>
    <sheet name="Feuil14" sheetId="11" r:id="rId11"/>
    <sheet name="Feuil15" sheetId="12" r:id="rId12"/>
    <sheet name="Feuil16" sheetId="13" r:id="rId13"/>
  </sheets>
  <definedNames/>
  <calcPr fullCalcOnLoad="1"/>
</workbook>
</file>

<file path=xl/sharedStrings.xml><?xml version="1.0" encoding="utf-8"?>
<sst xmlns="http://schemas.openxmlformats.org/spreadsheetml/2006/main" count="257" uniqueCount="95">
  <si>
    <t xml:space="preserve">ANALYSE EN TERME D'OFFRE ET DE DEMANDE DE LA SOLUTION N° </t>
  </si>
  <si>
    <t xml:space="preserve">Capacité (en milliers de pages) de la nouvelle machine : </t>
  </si>
  <si>
    <t>Capacité  (en milliers de pages) de l'ancienne machine  :</t>
  </si>
  <si>
    <t xml:space="preserve">Capacité ( en milliers de pages) globale  : </t>
  </si>
  <si>
    <t>Année</t>
  </si>
  <si>
    <t xml:space="preserve"> Demande couleur (Dc)</t>
  </si>
  <si>
    <t xml:space="preserve"> Offre Couleur </t>
  </si>
  <si>
    <t>Min[Dc,Capacité C]</t>
  </si>
  <si>
    <t xml:space="preserve"> =Capacité disponible</t>
  </si>
  <si>
    <t xml:space="preserve"> de la nouvelle machine</t>
  </si>
  <si>
    <t>Demande Noir et Blanc</t>
  </si>
  <si>
    <t xml:space="preserve"> - Offre Noir et Blanc de</t>
  </si>
  <si>
    <t xml:space="preserve"> la nouvelle machine</t>
  </si>
  <si>
    <t xml:space="preserve"> =Demande nette en</t>
  </si>
  <si>
    <t xml:space="preserve"> Noir et Blanc</t>
  </si>
  <si>
    <t xml:space="preserve"> - Offre Noir et Blanc</t>
  </si>
  <si>
    <t xml:space="preserve"> de(s) ancienne(s) machine(s)</t>
  </si>
  <si>
    <t xml:space="preserve"> = Sous-Traitance (Solde </t>
  </si>
  <si>
    <t xml:space="preserve"> Noir et Blanc disponible) </t>
  </si>
  <si>
    <t>Données en miliers de pages</t>
  </si>
  <si>
    <t>Capacité  (en milliers de pages) des anciennes machines  :</t>
  </si>
  <si>
    <t>Taux d'imposition sur les bénéfices</t>
  </si>
  <si>
    <t>Taux d'imposition sur les plus-values à court terme</t>
  </si>
  <si>
    <t>Taux d'imposition sur les plus-values à long terme</t>
  </si>
  <si>
    <t>Fiscalité</t>
  </si>
  <si>
    <t xml:space="preserve"> = Marge sur coût variable de production</t>
  </si>
  <si>
    <t xml:space="preserve">   Prix de vente </t>
  </si>
  <si>
    <t>Nouvelle machine</t>
  </si>
  <si>
    <t>Type de papier produit</t>
  </si>
  <si>
    <t>Couleur</t>
  </si>
  <si>
    <t>Noir et Blanc</t>
  </si>
  <si>
    <t>Ancienne machine</t>
  </si>
  <si>
    <t>Sous-traitance</t>
  </si>
  <si>
    <t xml:space="preserve"> - Frais de Main d'œuvre</t>
  </si>
  <si>
    <t xml:space="preserve"> - Frais de Matières premières</t>
  </si>
  <si>
    <t xml:space="preserve"> - Autres frais variables</t>
  </si>
  <si>
    <t>-</t>
  </si>
  <si>
    <t>Taux minimal d'activité correspondant au seuil de rentabilité</t>
  </si>
  <si>
    <t>Taux d'activité minimal correspondant à la marge minimale</t>
  </si>
  <si>
    <t>Coûts variables NM Couleur</t>
  </si>
  <si>
    <t>Coûts variables NM Noir et Blanc</t>
  </si>
  <si>
    <t>Coûts variables AM Noir et Blanc</t>
  </si>
  <si>
    <t>Coûts variables Sous-traitance</t>
  </si>
  <si>
    <t>Coûts variables</t>
  </si>
  <si>
    <t>Profits bruts</t>
  </si>
  <si>
    <t>Dotations aux amortissements NM</t>
  </si>
  <si>
    <t>Dotations aux amortissements AM</t>
  </si>
  <si>
    <t>Résultat Brut d'Exploitation</t>
  </si>
  <si>
    <t>Impôt sur les bénéfices</t>
  </si>
  <si>
    <t>Résultat Net d'Exploitation</t>
  </si>
  <si>
    <t>M.B.A.</t>
  </si>
  <si>
    <t>Flux Net de Trésorerie d'Exploitation</t>
  </si>
  <si>
    <t>Chiffre d'affaires Couleur</t>
  </si>
  <si>
    <t>Chiffre d'affaires Noir et Blanc</t>
  </si>
  <si>
    <t>Chiffre d'affaires Global</t>
  </si>
  <si>
    <t>Coût variable de production</t>
  </si>
  <si>
    <t>Investissements</t>
  </si>
  <si>
    <t>Dépense d'équipement TTC</t>
  </si>
  <si>
    <t>Dépense d'équipement HT</t>
  </si>
  <si>
    <t>Taux de TVA -Equipement</t>
  </si>
  <si>
    <t>Durée de vie économique (en années)</t>
  </si>
  <si>
    <t>Durée de vie fiscale (en années)</t>
  </si>
  <si>
    <t>Dotation linéaire (année 6 à 10)</t>
  </si>
  <si>
    <t>Dotation linéaire (année 1 à 5)</t>
  </si>
  <si>
    <t>Taux de revente/ Valeur d'origine</t>
  </si>
  <si>
    <t>Plus-value brute court terme de cession du N.E.</t>
  </si>
  <si>
    <t>Plus-value brute long terme de cession du N.E.</t>
  </si>
  <si>
    <t>VNC à terme de l'élément d'actif cédé</t>
  </si>
  <si>
    <t>Plus-value brute globale de cession du N.E.</t>
  </si>
  <si>
    <t>Cumul des amortissements de l'élément d'actif cédé</t>
  </si>
  <si>
    <t>Impôt Plus-value de cession court terme</t>
  </si>
  <si>
    <t>Impôt Plus-value de cession long terme</t>
  </si>
  <si>
    <t>Machine Couleur</t>
  </si>
  <si>
    <t>Machine M3 (NB)</t>
  </si>
  <si>
    <t>Machine M2 (NB)</t>
  </si>
  <si>
    <t>Machine M1 (NB) Typonet</t>
  </si>
  <si>
    <t>Prix de cession net (Prix de vente - Impôts Plus-Values)</t>
  </si>
  <si>
    <t>Valeur de revente de l'investissement</t>
  </si>
  <si>
    <t>Marges d'exploitation/Type de production</t>
  </si>
  <si>
    <t>Année de cession de l'équipement</t>
  </si>
  <si>
    <t>Pas d'investissement / Année</t>
  </si>
  <si>
    <t>Investissement / Année</t>
  </si>
  <si>
    <t>Sorties nettes de trésorerie</t>
  </si>
  <si>
    <t>Rentrées nettes de trésorerie</t>
  </si>
  <si>
    <t>FNT d'exploitation</t>
  </si>
  <si>
    <t>Récupération de l'EFN Permanent</t>
  </si>
  <si>
    <t>Revente nette à terme du nouvel équipement</t>
  </si>
  <si>
    <t>Revente nette des anciens équipements</t>
  </si>
  <si>
    <t>Dépense d'équipement</t>
  </si>
  <si>
    <t>Inv-Pas d'investissement / Année</t>
  </si>
  <si>
    <t>Flux net de trésorerie annuel</t>
  </si>
  <si>
    <t>Variation annuelle de l'EFN Permanent</t>
  </si>
  <si>
    <t xml:space="preserve">Taux d'actualisation = </t>
  </si>
  <si>
    <t xml:space="preserve">VAN = </t>
  </si>
  <si>
    <t>Taux d'actualisation du projet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</si>
</sst>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  <numFmt numFmtId="174" formatCode="_-* #,##0.00\ [$€-1]_-;\-* #,##0.00\ [$€-1]_-;_-* &quot;-&quot;??\ [$€-1]_-"/>
    <numFmt numFmtId="175" formatCode="_-* #,##0.00\ [$€-1]_-;\-* #,##0.00\ [$€-1]_-;_-* &quot;-&quot;??\ [$€-1]_-;_-@_-"/>
    <numFmt numFmtId="176" formatCode="0.000%"/>
    <numFmt numFmtId="177" formatCode="0.0000%"/>
    <numFmt numFmtId="178" formatCode="0.00000%"/>
    <numFmt numFmtId="179" formatCode="0.000000%"/>
    <numFmt numFmtId="180" formatCode="0.000"/>
    <numFmt numFmtId="181" formatCode="0.0000"/>
    <numFmt numFmtId="182" formatCode="0.00000"/>
    <numFmt numFmtId="183" formatCode="0.000000"/>
    <numFmt numFmtId="184" formatCode="#,##0.00\ [$€-1];\-#,##0.00\ [$€-1]"/>
    <numFmt numFmtId="185" formatCode="#,##0.000\ _F;[Red]\-#,##0.000\ _F"/>
    <numFmt numFmtId="186" formatCode="#,##0.0000\ _F;[Red]\-#,##0.0000\ _F"/>
    <numFmt numFmtId="187" formatCode="#,##0.00000\ _F;[Red]\-#,##0.00000\ _F"/>
    <numFmt numFmtId="188" formatCode="#,##0.0\ _F;[Red]\-#,##0.0\ _F"/>
    <numFmt numFmtId="189" formatCode="#,##0.00\ _F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medium"/>
    </border>
    <border>
      <left style="thick"/>
      <right style="thick"/>
      <top style="medium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 quotePrefix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quotePrefix="1">
      <alignment horizontal="left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7" xfId="0" applyFont="1" applyBorder="1" applyAlignment="1" quotePrefix="1">
      <alignment horizontal="left"/>
    </xf>
    <xf numFmtId="0" fontId="5" fillId="0" borderId="7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9" fontId="5" fillId="0" borderId="12" xfId="2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179" fontId="5" fillId="0" borderId="2" xfId="20" applyNumberFormat="1" applyFont="1" applyBorder="1" applyAlignment="1">
      <alignment horizontal="center"/>
    </xf>
    <xf numFmtId="179" fontId="5" fillId="0" borderId="14" xfId="20" applyNumberFormat="1" applyFont="1" applyBorder="1" applyAlignment="1">
      <alignment horizontal="center"/>
    </xf>
    <xf numFmtId="178" fontId="5" fillId="0" borderId="15" xfId="20" applyNumberFormat="1" applyFont="1" applyBorder="1" applyAlignment="1">
      <alignment horizontal="center"/>
    </xf>
    <xf numFmtId="10" fontId="5" fillId="0" borderId="0" xfId="20" applyNumberFormat="1" applyFont="1" applyAlignment="1">
      <alignment horizontal="center"/>
    </xf>
    <xf numFmtId="174" fontId="5" fillId="0" borderId="0" xfId="0" applyNumberFormat="1" applyFont="1" applyAlignment="1">
      <alignment/>
    </xf>
    <xf numFmtId="174" fontId="5" fillId="0" borderId="0" xfId="15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74" fontId="5" fillId="0" borderId="5" xfId="15" applyFont="1" applyBorder="1" applyAlignment="1">
      <alignment horizontal="center"/>
    </xf>
    <xf numFmtId="174" fontId="5" fillId="0" borderId="5" xfId="15" applyFont="1" applyBorder="1" applyAlignment="1">
      <alignment/>
    </xf>
    <xf numFmtId="9" fontId="5" fillId="0" borderId="5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174" fontId="5" fillId="0" borderId="5" xfId="0" applyNumberFormat="1" applyFont="1" applyBorder="1" applyAlignment="1">
      <alignment/>
    </xf>
    <xf numFmtId="0" fontId="5" fillId="0" borderId="23" xfId="0" applyFont="1" applyBorder="1" applyAlignment="1">
      <alignment/>
    </xf>
    <xf numFmtId="174" fontId="5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5" fillId="0" borderId="5" xfId="0" applyFont="1" applyBorder="1" applyAlignment="1">
      <alignment horizontal="center"/>
    </xf>
    <xf numFmtId="184" fontId="5" fillId="0" borderId="25" xfId="15" applyNumberFormat="1" applyFont="1" applyBorder="1" applyAlignment="1">
      <alignment horizontal="center"/>
    </xf>
    <xf numFmtId="184" fontId="5" fillId="0" borderId="4" xfId="15" applyNumberFormat="1" applyFont="1" applyBorder="1" applyAlignment="1">
      <alignment horizontal="center"/>
    </xf>
    <xf numFmtId="184" fontId="5" fillId="0" borderId="26" xfId="15" applyNumberFormat="1" applyFont="1" applyBorder="1" applyAlignment="1">
      <alignment horizontal="center"/>
    </xf>
    <xf numFmtId="184" fontId="5" fillId="0" borderId="27" xfId="15" applyNumberFormat="1" applyFont="1" applyBorder="1" applyAlignment="1">
      <alignment horizontal="center"/>
    </xf>
    <xf numFmtId="184" fontId="4" fillId="0" borderId="28" xfId="15" applyNumberFormat="1" applyFont="1" applyBorder="1" applyAlignment="1">
      <alignment horizontal="center"/>
    </xf>
    <xf numFmtId="184" fontId="4" fillId="0" borderId="29" xfId="15" applyNumberFormat="1" applyFont="1" applyBorder="1" applyAlignment="1">
      <alignment horizontal="center"/>
    </xf>
    <xf numFmtId="174" fontId="4" fillId="0" borderId="0" xfId="15" applyFont="1" applyAlignment="1">
      <alignment/>
    </xf>
    <xf numFmtId="0" fontId="4" fillId="0" borderId="5" xfId="0" applyFont="1" applyBorder="1" applyAlignment="1">
      <alignment/>
    </xf>
    <xf numFmtId="174" fontId="4" fillId="0" borderId="5" xfId="15" applyFont="1" applyBorder="1" applyAlignment="1">
      <alignment/>
    </xf>
    <xf numFmtId="0" fontId="4" fillId="0" borderId="23" xfId="0" applyFont="1" applyBorder="1" applyAlignment="1">
      <alignment/>
    </xf>
    <xf numFmtId="174" fontId="4" fillId="0" borderId="23" xfId="15" applyFont="1" applyBorder="1" applyAlignment="1">
      <alignment/>
    </xf>
    <xf numFmtId="0" fontId="4" fillId="0" borderId="24" xfId="0" applyFont="1" applyBorder="1" applyAlignment="1">
      <alignment horizontal="center"/>
    </xf>
    <xf numFmtId="174" fontId="4" fillId="0" borderId="24" xfId="15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15" applyFont="1" applyBorder="1" applyAlignment="1">
      <alignment/>
    </xf>
    <xf numFmtId="184" fontId="4" fillId="0" borderId="24" xfId="15" applyNumberFormat="1" applyFont="1" applyBorder="1" applyAlignment="1">
      <alignment horizontal="center"/>
    </xf>
    <xf numFmtId="40" fontId="5" fillId="0" borderId="5" xfId="0" applyNumberFormat="1" applyFont="1" applyBorder="1" applyAlignment="1">
      <alignment/>
    </xf>
    <xf numFmtId="40" fontId="4" fillId="0" borderId="5" xfId="0" applyNumberFormat="1" applyFont="1" applyBorder="1" applyAlignment="1">
      <alignment/>
    </xf>
    <xf numFmtId="40" fontId="5" fillId="0" borderId="0" xfId="0" applyNumberFormat="1" applyFont="1" applyAlignment="1">
      <alignment/>
    </xf>
    <xf numFmtId="40" fontId="4" fillId="0" borderId="0" xfId="0" applyNumberFormat="1" applyFont="1" applyBorder="1" applyAlignment="1">
      <alignment/>
    </xf>
    <xf numFmtId="38" fontId="4" fillId="0" borderId="24" xfId="0" applyNumberFormat="1" applyFont="1" applyBorder="1" applyAlignment="1">
      <alignment horizontal="center"/>
    </xf>
    <xf numFmtId="184" fontId="4" fillId="0" borderId="23" xfId="15" applyNumberFormat="1" applyFont="1" applyBorder="1" applyAlignment="1">
      <alignment horizontal="center"/>
    </xf>
    <xf numFmtId="38" fontId="4" fillId="0" borderId="24" xfId="0" applyNumberFormat="1" applyFont="1" applyBorder="1" applyAlignment="1">
      <alignment horizontal="center" vertical="center"/>
    </xf>
    <xf numFmtId="0" fontId="4" fillId="0" borderId="24" xfId="15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9" fontId="5" fillId="0" borderId="0" xfId="0" applyNumberFormat="1" applyFont="1" applyAlignment="1">
      <alignment/>
    </xf>
    <xf numFmtId="0" fontId="4" fillId="0" borderId="24" xfId="0" applyNumberFormat="1" applyFont="1" applyBorder="1" applyAlignment="1">
      <alignment horizontal="center"/>
    </xf>
    <xf numFmtId="176" fontId="4" fillId="0" borderId="0" xfId="20" applyNumberFormat="1" applyFont="1" applyAlignment="1">
      <alignment horizontal="center"/>
    </xf>
    <xf numFmtId="174" fontId="4" fillId="0" borderId="30" xfId="15" applyFont="1" applyBorder="1" applyAlignment="1">
      <alignment/>
    </xf>
    <xf numFmtId="0" fontId="5" fillId="0" borderId="23" xfId="0" applyFont="1" applyBorder="1" applyAlignment="1" quotePrefix="1">
      <alignment horizontal="left"/>
    </xf>
    <xf numFmtId="0" fontId="4" fillId="0" borderId="1" xfId="0" applyFont="1" applyBorder="1" applyAlignment="1">
      <alignment horizontal="left"/>
    </xf>
    <xf numFmtId="10" fontId="5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workbookViewId="0" topLeftCell="A1">
      <selection activeCell="H5" sqref="H5"/>
    </sheetView>
  </sheetViews>
  <sheetFormatPr defaultColWidth="11.421875" defaultRowHeight="12.75"/>
  <cols>
    <col min="1" max="1" width="48.8515625" style="3" bestFit="1" customWidth="1"/>
    <col min="2" max="2" width="19.00390625" style="3" bestFit="1" customWidth="1"/>
    <col min="3" max="3" width="27.140625" style="3" bestFit="1" customWidth="1"/>
    <col min="4" max="4" width="19.421875" style="3" bestFit="1" customWidth="1"/>
    <col min="5" max="5" width="18.8515625" style="3" bestFit="1" customWidth="1"/>
    <col min="6" max="16384" width="11.421875" style="3" customWidth="1"/>
  </cols>
  <sheetData>
    <row r="1" ht="14.25" thickBot="1" thickTop="1">
      <c r="A1" s="53" t="s">
        <v>24</v>
      </c>
    </row>
    <row r="2" ht="13.5" thickTop="1"/>
    <row r="3" spans="1:4" ht="12.75">
      <c r="A3" s="3" t="s">
        <v>21</v>
      </c>
      <c r="B3" s="35">
        <f>1/3</f>
        <v>0.3333333333333333</v>
      </c>
      <c r="C3" s="3" t="s">
        <v>94</v>
      </c>
      <c r="D3" s="87">
        <v>0.1</v>
      </c>
    </row>
    <row r="4" spans="1:2" ht="12.75">
      <c r="A4" s="3" t="s">
        <v>22</v>
      </c>
      <c r="B4" s="35">
        <f>1/3</f>
        <v>0.3333333333333333</v>
      </c>
    </row>
    <row r="5" spans="1:2" ht="12.75">
      <c r="A5" s="3" t="s">
        <v>23</v>
      </c>
      <c r="B5" s="35">
        <f>0.15</f>
        <v>0.15</v>
      </c>
    </row>
    <row r="6" spans="1:2" ht="12.75">
      <c r="A6" s="3" t="s">
        <v>59</v>
      </c>
      <c r="B6" s="35">
        <v>0.196</v>
      </c>
    </row>
    <row r="7" ht="13.5" thickBot="1"/>
    <row r="8" spans="1:5" s="31" customFormat="1" ht="14.25" thickBot="1" thickTop="1">
      <c r="A8" s="53" t="s">
        <v>56</v>
      </c>
      <c r="B8" s="53" t="s">
        <v>72</v>
      </c>
      <c r="C8" s="53" t="s">
        <v>75</v>
      </c>
      <c r="D8" s="53" t="s">
        <v>74</v>
      </c>
      <c r="E8" s="53" t="s">
        <v>73</v>
      </c>
    </row>
    <row r="9" spans="1:5" ht="13.5" thickTop="1">
      <c r="A9" s="17" t="s">
        <v>57</v>
      </c>
      <c r="B9" s="46">
        <v>1107550.84</v>
      </c>
      <c r="C9" s="46"/>
      <c r="D9" s="46"/>
      <c r="E9" s="46"/>
    </row>
    <row r="10" spans="1:5" ht="12.75">
      <c r="A10" s="17" t="s">
        <v>58</v>
      </c>
      <c r="B10" s="47">
        <f>B9/(1+$B6)</f>
        <v>926045.8528428095</v>
      </c>
      <c r="C10" s="47">
        <v>600000</v>
      </c>
      <c r="D10" s="47">
        <v>600000</v>
      </c>
      <c r="E10" s="47">
        <v>600000</v>
      </c>
    </row>
    <row r="11" spans="1:5" ht="12.75">
      <c r="A11" s="17" t="s">
        <v>69</v>
      </c>
      <c r="B11" s="46">
        <f>B10</f>
        <v>926045.8528428095</v>
      </c>
      <c r="C11" s="46">
        <v>480000</v>
      </c>
      <c r="D11" s="46">
        <v>600000</v>
      </c>
      <c r="E11" s="46">
        <v>600000</v>
      </c>
    </row>
    <row r="12" spans="1:5" ht="12.75">
      <c r="A12" s="17" t="s">
        <v>67</v>
      </c>
      <c r="B12" s="46">
        <f>B10-B11</f>
        <v>0</v>
      </c>
      <c r="C12" s="46">
        <f>C10-C11</f>
        <v>120000</v>
      </c>
      <c r="D12" s="46">
        <f>D10-D11</f>
        <v>0</v>
      </c>
      <c r="E12" s="46">
        <f>E10-E11</f>
        <v>0</v>
      </c>
    </row>
    <row r="13" spans="1:5" ht="12.75">
      <c r="A13" s="17"/>
      <c r="B13" s="46"/>
      <c r="C13" s="46"/>
      <c r="D13" s="46"/>
      <c r="E13" s="46"/>
    </row>
    <row r="14" spans="1:5" ht="12.75">
      <c r="A14" s="17" t="s">
        <v>60</v>
      </c>
      <c r="B14" s="54">
        <v>10</v>
      </c>
      <c r="C14" s="54">
        <v>5</v>
      </c>
      <c r="D14" s="54">
        <v>10</v>
      </c>
      <c r="E14" s="54">
        <v>10</v>
      </c>
    </row>
    <row r="15" spans="1:5" ht="12.75">
      <c r="A15" s="17" t="s">
        <v>61</v>
      </c>
      <c r="B15" s="54">
        <v>5</v>
      </c>
      <c r="C15" s="54">
        <v>5</v>
      </c>
      <c r="D15" s="54">
        <v>5</v>
      </c>
      <c r="E15" s="54">
        <v>5</v>
      </c>
    </row>
    <row r="16" spans="1:5" ht="12.75">
      <c r="A16" s="17" t="s">
        <v>79</v>
      </c>
      <c r="B16" s="54">
        <v>10</v>
      </c>
      <c r="C16" s="54">
        <v>1</v>
      </c>
      <c r="D16" s="54">
        <v>0</v>
      </c>
      <c r="E16" s="54">
        <v>0</v>
      </c>
    </row>
    <row r="17" spans="1:5" ht="12.75">
      <c r="A17" s="17" t="s">
        <v>63</v>
      </c>
      <c r="B17" s="47">
        <f>IF(B16=0,B12,B10/B15)</f>
        <v>185209.1705685619</v>
      </c>
      <c r="C17" s="47">
        <f>IF(C16=0,C12,C10/C15)</f>
        <v>120000</v>
      </c>
      <c r="D17" s="47">
        <f>IF(D16=0,D12,D10/D15)</f>
        <v>0</v>
      </c>
      <c r="E17" s="47">
        <f>IF(E16=0,E12,E10/E15)</f>
        <v>0</v>
      </c>
    </row>
    <row r="18" spans="1:5" ht="12.75">
      <c r="A18" s="17" t="s">
        <v>62</v>
      </c>
      <c r="B18" s="17"/>
      <c r="C18" s="17"/>
      <c r="D18" s="17"/>
      <c r="E18" s="17"/>
    </row>
    <row r="19" spans="1:5" ht="12.75">
      <c r="A19" s="17"/>
      <c r="B19" s="17"/>
      <c r="C19" s="17"/>
      <c r="D19" s="17"/>
      <c r="E19" s="17"/>
    </row>
    <row r="20" spans="1:5" ht="12.75">
      <c r="A20" s="17" t="s">
        <v>64</v>
      </c>
      <c r="B20" s="48">
        <v>0.2</v>
      </c>
      <c r="C20" s="48"/>
      <c r="D20" s="48"/>
      <c r="E20" s="48"/>
    </row>
    <row r="21" spans="1:5" ht="12.75">
      <c r="A21" s="17" t="s">
        <v>77</v>
      </c>
      <c r="B21" s="49">
        <f>B20*B10</f>
        <v>185209.1705685619</v>
      </c>
      <c r="C21" s="49">
        <v>180000</v>
      </c>
      <c r="D21" s="49">
        <v>3000</v>
      </c>
      <c r="E21" s="49">
        <v>3000</v>
      </c>
    </row>
    <row r="22" spans="1:5" ht="12.75">
      <c r="A22" s="17" t="s">
        <v>68</v>
      </c>
      <c r="B22" s="46">
        <f>B21-B12</f>
        <v>185209.1705685619</v>
      </c>
      <c r="C22" s="46">
        <f>C21-C12</f>
        <v>60000</v>
      </c>
      <c r="D22" s="46">
        <f>D21-D12</f>
        <v>3000</v>
      </c>
      <c r="E22" s="46">
        <f>E21-E12</f>
        <v>3000</v>
      </c>
    </row>
    <row r="23" spans="1:5" ht="12.75">
      <c r="A23" s="17" t="s">
        <v>65</v>
      </c>
      <c r="B23" s="50">
        <f>MIN(B22,B11)</f>
        <v>185209.1705685619</v>
      </c>
      <c r="C23" s="50">
        <f>MIN(C22,C11)</f>
        <v>60000</v>
      </c>
      <c r="D23" s="50">
        <f>MIN(D22,D11)</f>
        <v>3000</v>
      </c>
      <c r="E23" s="50">
        <f>MIN(E22,E11)</f>
        <v>3000</v>
      </c>
    </row>
    <row r="24" spans="1:5" ht="12.75">
      <c r="A24" s="17" t="s">
        <v>70</v>
      </c>
      <c r="B24" s="50">
        <f>MAX(0,B23*$B4)</f>
        <v>61736.390189520636</v>
      </c>
      <c r="C24" s="50">
        <f>MAX(0,C23*$B4)</f>
        <v>20000</v>
      </c>
      <c r="D24" s="50">
        <f>MAX(0,D23*$B4)</f>
        <v>1000</v>
      </c>
      <c r="E24" s="50">
        <f>MAX(0,E23*$B4)</f>
        <v>1000</v>
      </c>
    </row>
    <row r="25" spans="1:5" ht="12.75">
      <c r="A25" s="17" t="s">
        <v>66</v>
      </c>
      <c r="B25" s="50">
        <f>MAX(B22-B23,0)</f>
        <v>0</v>
      </c>
      <c r="C25" s="50">
        <f>MAX(C22-C23,0)</f>
        <v>0</v>
      </c>
      <c r="D25" s="50">
        <f>MAX(D22-D23,0)</f>
        <v>0</v>
      </c>
      <c r="E25" s="50">
        <f>MAX(E22-E23,0)</f>
        <v>0</v>
      </c>
    </row>
    <row r="26" spans="1:5" ht="12.75">
      <c r="A26" s="17" t="s">
        <v>71</v>
      </c>
      <c r="B26" s="50">
        <f>MAX(0,B25*$B5)</f>
        <v>0</v>
      </c>
      <c r="C26" s="50">
        <f>MAX(0,C25*$B5)</f>
        <v>0</v>
      </c>
      <c r="D26" s="50">
        <f>MAX(0,D25*$B5)</f>
        <v>0</v>
      </c>
      <c r="E26" s="50">
        <f>MAX(0,E25*$B5)</f>
        <v>0</v>
      </c>
    </row>
    <row r="27" spans="1:5" ht="13.5" thickBot="1">
      <c r="A27" s="51" t="s">
        <v>76</v>
      </c>
      <c r="B27" s="52">
        <f>B21-(B24+B26)</f>
        <v>123472.78037904127</v>
      </c>
      <c r="C27" s="52">
        <f>C21-(C24+C26)</f>
        <v>160000</v>
      </c>
      <c r="D27" s="52">
        <f>D21-(D24+D26)</f>
        <v>2000</v>
      </c>
      <c r="E27" s="52">
        <f>E21-(E24+E26)</f>
        <v>2000</v>
      </c>
    </row>
    <row r="28" ht="14.25" thickBot="1" thickTop="1">
      <c r="B28" s="36"/>
    </row>
    <row r="29" spans="1:5" ht="13.5" thickTop="1">
      <c r="A29" s="42" t="s">
        <v>78</v>
      </c>
      <c r="B29" s="40" t="s">
        <v>27</v>
      </c>
      <c r="C29" s="40" t="s">
        <v>27</v>
      </c>
      <c r="D29" s="40" t="s">
        <v>31</v>
      </c>
      <c r="E29" s="41" t="s">
        <v>32</v>
      </c>
    </row>
    <row r="30" spans="1:5" ht="13.5" thickBot="1">
      <c r="A30" s="43" t="s">
        <v>28</v>
      </c>
      <c r="B30" s="38" t="s">
        <v>29</v>
      </c>
      <c r="C30" s="38" t="s">
        <v>30</v>
      </c>
      <c r="D30" s="38" t="s">
        <v>30</v>
      </c>
      <c r="E30" s="39" t="s">
        <v>30</v>
      </c>
    </row>
    <row r="31" spans="1:5" ht="14.25" thickBot="1" thickTop="1">
      <c r="A31" s="25" t="s">
        <v>26</v>
      </c>
      <c r="B31" s="55">
        <v>200</v>
      </c>
      <c r="C31" s="55">
        <v>100</v>
      </c>
      <c r="D31" s="55">
        <v>100</v>
      </c>
      <c r="E31" s="56">
        <v>100</v>
      </c>
    </row>
    <row r="32" spans="1:5" ht="13.5" thickBot="1">
      <c r="A32" s="26" t="s">
        <v>34</v>
      </c>
      <c r="B32" s="57">
        <v>19</v>
      </c>
      <c r="C32" s="57">
        <v>14</v>
      </c>
      <c r="D32" s="57">
        <v>16</v>
      </c>
      <c r="E32" s="58">
        <v>0</v>
      </c>
    </row>
    <row r="33" spans="1:5" ht="13.5" thickBot="1">
      <c r="A33" s="26" t="s">
        <v>33</v>
      </c>
      <c r="B33" s="57">
        <v>31</v>
      </c>
      <c r="C33" s="57">
        <v>28</v>
      </c>
      <c r="D33" s="57">
        <v>64</v>
      </c>
      <c r="E33" s="58">
        <v>0</v>
      </c>
    </row>
    <row r="34" spans="1:5" ht="13.5" thickBot="1">
      <c r="A34" s="26" t="s">
        <v>35</v>
      </c>
      <c r="B34" s="57">
        <v>0</v>
      </c>
      <c r="C34" s="57">
        <v>0</v>
      </c>
      <c r="D34" s="57">
        <v>0</v>
      </c>
      <c r="E34" s="58">
        <v>90</v>
      </c>
    </row>
    <row r="35" spans="1:5" ht="13.5" thickBot="1">
      <c r="A35" s="44" t="s">
        <v>55</v>
      </c>
      <c r="B35" s="59">
        <f>SUM(B32:B34)</f>
        <v>50</v>
      </c>
      <c r="C35" s="59">
        <f>SUM(C32:C34)</f>
        <v>42</v>
      </c>
      <c r="D35" s="59">
        <f>SUM(D32:D34)</f>
        <v>80</v>
      </c>
      <c r="E35" s="59">
        <f>SUM(E32:E34)</f>
        <v>90</v>
      </c>
    </row>
    <row r="36" spans="1:5" ht="13.5" thickBot="1">
      <c r="A36" s="45" t="s">
        <v>25</v>
      </c>
      <c r="B36" s="60">
        <f>B31-B35</f>
        <v>150</v>
      </c>
      <c r="C36" s="60">
        <f>C31-C35</f>
        <v>58</v>
      </c>
      <c r="D36" s="60">
        <f>D31-D35</f>
        <v>20</v>
      </c>
      <c r="E36" s="60">
        <f>E31-E35</f>
        <v>10</v>
      </c>
    </row>
    <row r="37" spans="1:5" ht="14.25" thickBot="1" thickTop="1">
      <c r="A37" s="27" t="s">
        <v>37</v>
      </c>
      <c r="B37" s="29">
        <f>B33/(B31-B32-B34)</f>
        <v>0.1712707182320442</v>
      </c>
      <c r="C37" s="29">
        <f>C33/(C31-C32-C34)</f>
        <v>0.32558139534883723</v>
      </c>
      <c r="D37" s="33">
        <f>D33/(D31-D32-D34)</f>
        <v>0.7619047619047619</v>
      </c>
      <c r="E37" s="32">
        <f>E33/(E31-E32-E34)</f>
        <v>0</v>
      </c>
    </row>
    <row r="38" spans="1:5" ht="13.5" thickBot="1">
      <c r="A38" s="28" t="s">
        <v>38</v>
      </c>
      <c r="B38" s="30" t="s">
        <v>36</v>
      </c>
      <c r="C38" s="34">
        <f>C33/(C31-(C32+C34+MIN(B36:E36)))</f>
        <v>0.3684210526315789</v>
      </c>
      <c r="D38" s="34">
        <f>D33/(D31-(D32+D34+MIN(C36:F36)))</f>
        <v>0.8648648648648649</v>
      </c>
      <c r="E38" s="34" t="s">
        <v>36</v>
      </c>
    </row>
    <row r="39" ht="13.5" thickTop="1"/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&amp;CCas Fabien (Corrigé : J.F. Gueugnon)</oddHeader>
    <oddFooter>&amp;CParamètres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zoomScaleSheetLayoutView="100" workbookViewId="0" topLeftCell="A39">
      <selection activeCell="B76" sqref="B76"/>
    </sheetView>
  </sheetViews>
  <sheetFormatPr defaultColWidth="11.421875" defaultRowHeight="12.75"/>
  <cols>
    <col min="1" max="1" width="36.8515625" style="3" customWidth="1"/>
    <col min="2" max="2" width="16.7109375" style="73" customWidth="1"/>
    <col min="3" max="12" width="16.8515625" style="3" customWidth="1"/>
    <col min="13" max="16384" width="29.8515625" style="3" customWidth="1"/>
  </cols>
  <sheetData>
    <row r="1" spans="1:12" ht="12.75">
      <c r="A1" s="1" t="s">
        <v>0</v>
      </c>
      <c r="B1" s="2"/>
      <c r="D1" s="4">
        <v>1</v>
      </c>
      <c r="E1" s="4"/>
      <c r="H1" s="6"/>
      <c r="I1" s="5" t="s">
        <v>1</v>
      </c>
      <c r="J1" s="6"/>
      <c r="K1" s="7"/>
      <c r="L1" s="4">
        <v>4000</v>
      </c>
    </row>
    <row r="2" spans="1:12" ht="12.75">
      <c r="A2" s="1"/>
      <c r="B2" s="2"/>
      <c r="H2" s="6"/>
      <c r="I2" s="5" t="s">
        <v>2</v>
      </c>
      <c r="J2" s="6"/>
      <c r="K2" s="7"/>
      <c r="L2" s="4">
        <v>1000</v>
      </c>
    </row>
    <row r="3" spans="2:12" ht="12.75">
      <c r="B3" s="8"/>
      <c r="I3" s="5" t="s">
        <v>3</v>
      </c>
      <c r="L3" s="4">
        <f>L1+L2</f>
        <v>5000</v>
      </c>
    </row>
    <row r="4" spans="2:12" ht="13.5" thickBot="1">
      <c r="B4" s="8"/>
      <c r="L4" s="8"/>
    </row>
    <row r="5" spans="1:12" s="8" customFormat="1" ht="14.25" thickBot="1" thickTop="1">
      <c r="A5" s="86" t="s">
        <v>4</v>
      </c>
      <c r="B5" s="10">
        <v>0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</row>
    <row r="6" spans="1:12" ht="13.5" thickBot="1">
      <c r="A6" s="12" t="s">
        <v>5</v>
      </c>
      <c r="B6" s="13">
        <v>500</v>
      </c>
      <c r="C6" s="13">
        <v>600</v>
      </c>
      <c r="D6" s="13">
        <v>700</v>
      </c>
      <c r="E6" s="13">
        <v>800</v>
      </c>
      <c r="F6" s="13">
        <v>900</v>
      </c>
      <c r="G6" s="13">
        <v>1000</v>
      </c>
      <c r="H6" s="13">
        <v>1100</v>
      </c>
      <c r="I6" s="13">
        <v>1200</v>
      </c>
      <c r="J6" s="13">
        <v>1300</v>
      </c>
      <c r="K6" s="13">
        <v>1400</v>
      </c>
      <c r="L6" s="13">
        <v>1500</v>
      </c>
    </row>
    <row r="7" spans="1:12" ht="12.75">
      <c r="A7" s="14" t="s">
        <v>6</v>
      </c>
      <c r="B7" s="15">
        <v>0</v>
      </c>
      <c r="C7" s="15">
        <f>MIN(C6,$L1)</f>
        <v>600</v>
      </c>
      <c r="D7" s="15">
        <f aca="true" t="shared" si="0" ref="D7:L7">MIN(D6,$L$1)</f>
        <v>700</v>
      </c>
      <c r="E7" s="15">
        <f t="shared" si="0"/>
        <v>800</v>
      </c>
      <c r="F7" s="15">
        <f t="shared" si="0"/>
        <v>900</v>
      </c>
      <c r="G7" s="15">
        <f t="shared" si="0"/>
        <v>1000</v>
      </c>
      <c r="H7" s="15">
        <f t="shared" si="0"/>
        <v>1100</v>
      </c>
      <c r="I7" s="15">
        <f t="shared" si="0"/>
        <v>1200</v>
      </c>
      <c r="J7" s="15">
        <f t="shared" si="0"/>
        <v>1300</v>
      </c>
      <c r="K7" s="15">
        <f t="shared" si="0"/>
        <v>1400</v>
      </c>
      <c r="L7" s="15">
        <f t="shared" si="0"/>
        <v>1500</v>
      </c>
    </row>
    <row r="8" spans="1:12" ht="13.5" thickBot="1">
      <c r="A8" s="16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2.75">
      <c r="A9" s="17" t="s">
        <v>8</v>
      </c>
      <c r="B9" s="15">
        <f>J1-B7</f>
        <v>0</v>
      </c>
      <c r="C9" s="15">
        <f>$L1-C7</f>
        <v>3400</v>
      </c>
      <c r="D9" s="15">
        <f aca="true" t="shared" si="1" ref="D9:L9">$L1-D7</f>
        <v>3300</v>
      </c>
      <c r="E9" s="15">
        <f t="shared" si="1"/>
        <v>3200</v>
      </c>
      <c r="F9" s="15">
        <f t="shared" si="1"/>
        <v>3100</v>
      </c>
      <c r="G9" s="15">
        <f t="shared" si="1"/>
        <v>3000</v>
      </c>
      <c r="H9" s="15">
        <f t="shared" si="1"/>
        <v>2900</v>
      </c>
      <c r="I9" s="15">
        <f t="shared" si="1"/>
        <v>2800</v>
      </c>
      <c r="J9" s="15">
        <f t="shared" si="1"/>
        <v>2700</v>
      </c>
      <c r="K9" s="15">
        <f t="shared" si="1"/>
        <v>2600</v>
      </c>
      <c r="L9" s="15">
        <f t="shared" si="1"/>
        <v>2500</v>
      </c>
    </row>
    <row r="10" spans="1:12" ht="13.5" thickBot="1">
      <c r="A10" s="12" t="s">
        <v>9</v>
      </c>
      <c r="B10" s="18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5" thickBot="1">
      <c r="A11" s="16" t="s">
        <v>10</v>
      </c>
      <c r="B11" s="13">
        <v>3000</v>
      </c>
      <c r="C11" s="13">
        <v>3400</v>
      </c>
      <c r="D11" s="13">
        <v>3800</v>
      </c>
      <c r="E11" s="13">
        <v>4200</v>
      </c>
      <c r="F11" s="13">
        <v>4600</v>
      </c>
      <c r="G11" s="13">
        <v>5000</v>
      </c>
      <c r="H11" s="13">
        <v>5400</v>
      </c>
      <c r="I11" s="13">
        <v>5800</v>
      </c>
      <c r="J11" s="13">
        <v>6200</v>
      </c>
      <c r="K11" s="13">
        <v>6600</v>
      </c>
      <c r="L11" s="13">
        <v>7000</v>
      </c>
    </row>
    <row r="12" spans="1:12" ht="12.75">
      <c r="A12" s="17" t="s">
        <v>11</v>
      </c>
      <c r="B12" s="15">
        <v>0</v>
      </c>
      <c r="C12" s="15">
        <f>MIN(C11,C9)</f>
        <v>3400</v>
      </c>
      <c r="D12" s="15">
        <f aca="true" t="shared" si="2" ref="D12:L12">MIN(D11,D9)</f>
        <v>3300</v>
      </c>
      <c r="E12" s="15">
        <f t="shared" si="2"/>
        <v>3200</v>
      </c>
      <c r="F12" s="15">
        <f t="shared" si="2"/>
        <v>3100</v>
      </c>
      <c r="G12" s="15">
        <f t="shared" si="2"/>
        <v>3000</v>
      </c>
      <c r="H12" s="15">
        <f t="shared" si="2"/>
        <v>2900</v>
      </c>
      <c r="I12" s="15">
        <f t="shared" si="2"/>
        <v>2800</v>
      </c>
      <c r="J12" s="15">
        <f t="shared" si="2"/>
        <v>2700</v>
      </c>
      <c r="K12" s="15">
        <f t="shared" si="2"/>
        <v>2600</v>
      </c>
      <c r="L12" s="15">
        <f t="shared" si="2"/>
        <v>2500</v>
      </c>
    </row>
    <row r="13" spans="1:12" ht="13.5" thickBot="1">
      <c r="A13" s="12" t="s">
        <v>12</v>
      </c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.75">
      <c r="A14" s="17" t="s">
        <v>13</v>
      </c>
      <c r="B14" s="15">
        <f>B11-B12</f>
        <v>3000</v>
      </c>
      <c r="C14" s="15">
        <f aca="true" t="shared" si="3" ref="C14:L14">C11-C12</f>
        <v>0</v>
      </c>
      <c r="D14" s="15">
        <f t="shared" si="3"/>
        <v>500</v>
      </c>
      <c r="E14" s="15">
        <f t="shared" si="3"/>
        <v>1000</v>
      </c>
      <c r="F14" s="15">
        <f t="shared" si="3"/>
        <v>1500</v>
      </c>
      <c r="G14" s="15">
        <f t="shared" si="3"/>
        <v>2000</v>
      </c>
      <c r="H14" s="15">
        <f t="shared" si="3"/>
        <v>2500</v>
      </c>
      <c r="I14" s="15">
        <f t="shared" si="3"/>
        <v>3000</v>
      </c>
      <c r="J14" s="15">
        <f t="shared" si="3"/>
        <v>3500</v>
      </c>
      <c r="K14" s="15">
        <f t="shared" si="3"/>
        <v>4000</v>
      </c>
      <c r="L14" s="15">
        <f t="shared" si="3"/>
        <v>4500</v>
      </c>
    </row>
    <row r="15" spans="1:12" ht="13.5" thickBot="1">
      <c r="A15" s="12" t="s">
        <v>14</v>
      </c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7" t="s">
        <v>15</v>
      </c>
      <c r="B16" s="15">
        <v>3000</v>
      </c>
      <c r="C16" s="15">
        <v>0</v>
      </c>
      <c r="D16" s="15">
        <v>0</v>
      </c>
      <c r="E16" s="15">
        <v>1000</v>
      </c>
      <c r="F16" s="15">
        <v>1000</v>
      </c>
      <c r="G16" s="15">
        <v>1000</v>
      </c>
      <c r="H16" s="15">
        <v>1000</v>
      </c>
      <c r="I16" s="15">
        <v>1000</v>
      </c>
      <c r="J16" s="15">
        <v>1000</v>
      </c>
      <c r="K16" s="15">
        <v>1000</v>
      </c>
      <c r="L16" s="15">
        <v>1000</v>
      </c>
    </row>
    <row r="17" spans="1:12" ht="13.5" thickBot="1">
      <c r="A17" s="12" t="s">
        <v>16</v>
      </c>
      <c r="B17" s="18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4" t="s">
        <v>17</v>
      </c>
      <c r="B18" s="19">
        <v>0</v>
      </c>
      <c r="C18" s="15">
        <f>C14-C16</f>
        <v>0</v>
      </c>
      <c r="D18" s="15">
        <f aca="true" t="shared" si="4" ref="D18:L18">D14-D16</f>
        <v>500</v>
      </c>
      <c r="E18" s="15">
        <f t="shared" si="4"/>
        <v>0</v>
      </c>
      <c r="F18" s="15">
        <f t="shared" si="4"/>
        <v>500</v>
      </c>
      <c r="G18" s="15">
        <f t="shared" si="4"/>
        <v>1000</v>
      </c>
      <c r="H18" s="15">
        <f t="shared" si="4"/>
        <v>1500</v>
      </c>
      <c r="I18" s="15">
        <f t="shared" si="4"/>
        <v>2000</v>
      </c>
      <c r="J18" s="15">
        <f t="shared" si="4"/>
        <v>2500</v>
      </c>
      <c r="K18" s="15">
        <f t="shared" si="4"/>
        <v>3000</v>
      </c>
      <c r="L18" s="15">
        <f t="shared" si="4"/>
        <v>3500</v>
      </c>
    </row>
    <row r="19" spans="1:12" ht="13.5" thickBot="1">
      <c r="A19" s="85" t="s">
        <v>18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2:12" ht="13.5" thickTop="1">
      <c r="B20" s="8"/>
      <c r="L20" s="8"/>
    </row>
    <row r="21" spans="1:12" s="24" customFormat="1" ht="15.75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24" customFormat="1" ht="16.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4.25" thickBot="1" thickTop="1">
      <c r="A23" s="53" t="s">
        <v>81</v>
      </c>
      <c r="B23" s="75">
        <v>0</v>
      </c>
      <c r="C23" s="66">
        <v>1</v>
      </c>
      <c r="D23" s="66">
        <v>2</v>
      </c>
      <c r="E23" s="66">
        <v>3</v>
      </c>
      <c r="F23" s="66">
        <v>4</v>
      </c>
      <c r="G23" s="66">
        <v>5</v>
      </c>
      <c r="H23" s="66">
        <v>6</v>
      </c>
      <c r="I23" s="66">
        <v>7</v>
      </c>
      <c r="J23" s="66">
        <v>8</v>
      </c>
      <c r="K23" s="66">
        <v>9</v>
      </c>
      <c r="L23" s="66">
        <v>10</v>
      </c>
    </row>
    <row r="24" spans="1:12" ht="13.5" thickTop="1">
      <c r="A24" s="17" t="s">
        <v>52</v>
      </c>
      <c r="B24" s="71"/>
      <c r="C24" s="47">
        <f>Param!$B31*C7</f>
        <v>120000</v>
      </c>
      <c r="D24" s="47">
        <f>Param!$B31*D7</f>
        <v>140000</v>
      </c>
      <c r="E24" s="47">
        <f>Param!$B31*E7</f>
        <v>160000</v>
      </c>
      <c r="F24" s="47">
        <f>Param!$B31*F7</f>
        <v>180000</v>
      </c>
      <c r="G24" s="47">
        <f>Param!$B31*G7</f>
        <v>200000</v>
      </c>
      <c r="H24" s="47">
        <f>Param!$B31*H7</f>
        <v>220000</v>
      </c>
      <c r="I24" s="47">
        <f>Param!$B31*I7</f>
        <v>240000</v>
      </c>
      <c r="J24" s="47">
        <f>Param!$B31*J7</f>
        <v>260000</v>
      </c>
      <c r="K24" s="47">
        <f>Param!$B31*K7</f>
        <v>280000</v>
      </c>
      <c r="L24" s="47">
        <f>Param!$B31*L7</f>
        <v>300000</v>
      </c>
    </row>
    <row r="25" spans="1:12" ht="12.75">
      <c r="A25" s="17" t="s">
        <v>53</v>
      </c>
      <c r="B25" s="71"/>
      <c r="C25" s="47">
        <f>Param!$C31*C11</f>
        <v>340000</v>
      </c>
      <c r="D25" s="47">
        <f>Param!$C31*D11</f>
        <v>380000</v>
      </c>
      <c r="E25" s="47">
        <f>Param!$C31*E11</f>
        <v>420000</v>
      </c>
      <c r="F25" s="47">
        <f>Param!$C31*F11</f>
        <v>460000</v>
      </c>
      <c r="G25" s="47">
        <f>Param!$C31*G11</f>
        <v>500000</v>
      </c>
      <c r="H25" s="47">
        <f>Param!$C31*H11</f>
        <v>540000</v>
      </c>
      <c r="I25" s="47">
        <f>Param!$C31*I11</f>
        <v>580000</v>
      </c>
      <c r="J25" s="47">
        <f>Param!$C31*J11</f>
        <v>620000</v>
      </c>
      <c r="K25" s="47">
        <f>Param!$C31*K11</f>
        <v>660000</v>
      </c>
      <c r="L25" s="47">
        <f>Param!$C31*L11</f>
        <v>700000</v>
      </c>
    </row>
    <row r="26" spans="1:12" s="31" customFormat="1" ht="12.75">
      <c r="A26" s="62" t="s">
        <v>54</v>
      </c>
      <c r="B26" s="72"/>
      <c r="C26" s="63">
        <f aca="true" t="shared" si="5" ref="C26:L26">SUM(C24:C25)</f>
        <v>460000</v>
      </c>
      <c r="D26" s="63">
        <f t="shared" si="5"/>
        <v>520000</v>
      </c>
      <c r="E26" s="63">
        <f t="shared" si="5"/>
        <v>580000</v>
      </c>
      <c r="F26" s="63">
        <f t="shared" si="5"/>
        <v>640000</v>
      </c>
      <c r="G26" s="63">
        <f t="shared" si="5"/>
        <v>700000</v>
      </c>
      <c r="H26" s="63">
        <f t="shared" si="5"/>
        <v>760000</v>
      </c>
      <c r="I26" s="63">
        <f t="shared" si="5"/>
        <v>820000</v>
      </c>
      <c r="J26" s="63">
        <f t="shared" si="5"/>
        <v>880000</v>
      </c>
      <c r="K26" s="63">
        <f t="shared" si="5"/>
        <v>940000</v>
      </c>
      <c r="L26" s="63">
        <f t="shared" si="5"/>
        <v>1000000</v>
      </c>
    </row>
    <row r="27" spans="1:12" ht="12.75">
      <c r="A27" s="17" t="s">
        <v>39</v>
      </c>
      <c r="B27" s="71"/>
      <c r="C27" s="47">
        <f>Param!$B35*C7</f>
        <v>30000</v>
      </c>
      <c r="D27" s="47">
        <f>Param!$B35*D7</f>
        <v>35000</v>
      </c>
      <c r="E27" s="47">
        <f>Param!$B35*E7</f>
        <v>40000</v>
      </c>
      <c r="F27" s="47">
        <f>Param!$B35*F7</f>
        <v>45000</v>
      </c>
      <c r="G27" s="47">
        <f>Param!$B35*G7</f>
        <v>50000</v>
      </c>
      <c r="H27" s="47">
        <f>Param!$B35*H7</f>
        <v>55000</v>
      </c>
      <c r="I27" s="47">
        <f>Param!$B35*I7</f>
        <v>60000</v>
      </c>
      <c r="J27" s="47">
        <f>Param!$B35*J7</f>
        <v>65000</v>
      </c>
      <c r="K27" s="47">
        <f>Param!$B35*K7</f>
        <v>70000</v>
      </c>
      <c r="L27" s="47">
        <f>Param!$B35*L7</f>
        <v>75000</v>
      </c>
    </row>
    <row r="28" spans="1:12" ht="12.75">
      <c r="A28" s="17" t="s">
        <v>40</v>
      </c>
      <c r="B28" s="71"/>
      <c r="C28" s="47">
        <f>Param!$C35*C12</f>
        <v>142800</v>
      </c>
      <c r="D28" s="47">
        <f>Param!$C35*D12</f>
        <v>138600</v>
      </c>
      <c r="E28" s="47">
        <f>Param!$C35*E12</f>
        <v>134400</v>
      </c>
      <c r="F28" s="47">
        <f>Param!$C35*F12</f>
        <v>130200</v>
      </c>
      <c r="G28" s="47">
        <f>Param!$C35*G12</f>
        <v>126000</v>
      </c>
      <c r="H28" s="47">
        <f>Param!$C35*H12</f>
        <v>121800</v>
      </c>
      <c r="I28" s="47">
        <f>Param!$C35*I12</f>
        <v>117600</v>
      </c>
      <c r="J28" s="47">
        <f>Param!$C35*J12</f>
        <v>113400</v>
      </c>
      <c r="K28" s="47">
        <f>Param!$C35*K12</f>
        <v>109200</v>
      </c>
      <c r="L28" s="47">
        <f>Param!$C35*L12</f>
        <v>105000</v>
      </c>
    </row>
    <row r="29" spans="1:12" ht="12.75">
      <c r="A29" s="17" t="s">
        <v>41</v>
      </c>
      <c r="B29" s="71"/>
      <c r="C29" s="47">
        <f>Param!$D35*C16</f>
        <v>0</v>
      </c>
      <c r="D29" s="47">
        <f>Param!$D35*D16</f>
        <v>0</v>
      </c>
      <c r="E29" s="47">
        <f>Param!$D35*E16</f>
        <v>80000</v>
      </c>
      <c r="F29" s="47">
        <f>Param!$D35*F16</f>
        <v>80000</v>
      </c>
      <c r="G29" s="47">
        <f>Param!$D35*G16</f>
        <v>80000</v>
      </c>
      <c r="H29" s="47">
        <f>Param!$D35*H16</f>
        <v>80000</v>
      </c>
      <c r="I29" s="47">
        <f>Param!$D35*I16</f>
        <v>80000</v>
      </c>
      <c r="J29" s="47">
        <f>Param!$D35*J16</f>
        <v>80000</v>
      </c>
      <c r="K29" s="47">
        <f>Param!$D35*K16</f>
        <v>80000</v>
      </c>
      <c r="L29" s="47">
        <f>Param!$D35*L16</f>
        <v>80000</v>
      </c>
    </row>
    <row r="30" spans="1:12" ht="12.75">
      <c r="A30" s="17" t="s">
        <v>42</v>
      </c>
      <c r="B30" s="71"/>
      <c r="C30" s="47">
        <f>Param!$E35*C18</f>
        <v>0</v>
      </c>
      <c r="D30" s="47">
        <f>Param!$E35*D18</f>
        <v>45000</v>
      </c>
      <c r="E30" s="47">
        <f>Param!$E35*E18</f>
        <v>0</v>
      </c>
      <c r="F30" s="47">
        <f>Param!$E35*F18</f>
        <v>45000</v>
      </c>
      <c r="G30" s="47">
        <f>Param!$E35*G18</f>
        <v>90000</v>
      </c>
      <c r="H30" s="47">
        <f>Param!$E35*H18</f>
        <v>135000</v>
      </c>
      <c r="I30" s="47">
        <f>Param!$E35*I18</f>
        <v>180000</v>
      </c>
      <c r="J30" s="47">
        <f>Param!$E35*J18</f>
        <v>225000</v>
      </c>
      <c r="K30" s="47">
        <f>Param!$E35*K18</f>
        <v>270000</v>
      </c>
      <c r="L30" s="47">
        <f>Param!$E35*L18</f>
        <v>315000</v>
      </c>
    </row>
    <row r="31" spans="1:12" ht="12.75">
      <c r="A31" s="17" t="s">
        <v>43</v>
      </c>
      <c r="B31" s="71"/>
      <c r="C31" s="47">
        <f aca="true" t="shared" si="6" ref="C31:L31">SUM(C27:C30)</f>
        <v>172800</v>
      </c>
      <c r="D31" s="47">
        <f t="shared" si="6"/>
        <v>218600</v>
      </c>
      <c r="E31" s="47">
        <f t="shared" si="6"/>
        <v>254400</v>
      </c>
      <c r="F31" s="47">
        <f t="shared" si="6"/>
        <v>300200</v>
      </c>
      <c r="G31" s="47">
        <f t="shared" si="6"/>
        <v>346000</v>
      </c>
      <c r="H31" s="47">
        <f t="shared" si="6"/>
        <v>391800</v>
      </c>
      <c r="I31" s="47">
        <f t="shared" si="6"/>
        <v>437600</v>
      </c>
      <c r="J31" s="47">
        <f t="shared" si="6"/>
        <v>483400</v>
      </c>
      <c r="K31" s="47">
        <f t="shared" si="6"/>
        <v>529200</v>
      </c>
      <c r="L31" s="47">
        <f t="shared" si="6"/>
        <v>575000</v>
      </c>
    </row>
    <row r="32" spans="1:12" ht="12.75">
      <c r="A32" s="62" t="s">
        <v>44</v>
      </c>
      <c r="B32" s="72"/>
      <c r="C32" s="63">
        <f aca="true" t="shared" si="7" ref="C32:L32">C26-C31</f>
        <v>287200</v>
      </c>
      <c r="D32" s="63">
        <f t="shared" si="7"/>
        <v>301400</v>
      </c>
      <c r="E32" s="63">
        <f t="shared" si="7"/>
        <v>325600</v>
      </c>
      <c r="F32" s="63">
        <f t="shared" si="7"/>
        <v>339800</v>
      </c>
      <c r="G32" s="63">
        <f t="shared" si="7"/>
        <v>354000</v>
      </c>
      <c r="H32" s="63">
        <f t="shared" si="7"/>
        <v>368200</v>
      </c>
      <c r="I32" s="63">
        <f t="shared" si="7"/>
        <v>382400</v>
      </c>
      <c r="J32" s="63">
        <f t="shared" si="7"/>
        <v>396600</v>
      </c>
      <c r="K32" s="63">
        <f t="shared" si="7"/>
        <v>410800</v>
      </c>
      <c r="L32" s="63">
        <f t="shared" si="7"/>
        <v>425000</v>
      </c>
    </row>
    <row r="33" spans="1:12" ht="12.75">
      <c r="A33" s="17" t="s">
        <v>45</v>
      </c>
      <c r="B33" s="71"/>
      <c r="C33" s="46">
        <f>IF(C23&lt;=Param!$B15,Param!$B17,0)</f>
        <v>185209.1705685619</v>
      </c>
      <c r="D33" s="46">
        <f>IF(D23&lt;=Param!$B15,Param!$B17,0)</f>
        <v>185209.1705685619</v>
      </c>
      <c r="E33" s="46">
        <f>IF(E23&lt;=Param!$B15,Param!$B17,0)</f>
        <v>185209.1705685619</v>
      </c>
      <c r="F33" s="46">
        <f>IF(F23&lt;=Param!$B15,Param!$B17,0)</f>
        <v>185209.1705685619</v>
      </c>
      <c r="G33" s="46">
        <f>IF(G23&lt;=Param!$B15,Param!$B17,0)</f>
        <v>185209.1705685619</v>
      </c>
      <c r="H33" s="46">
        <f>IF(H23&lt;=Param!$B15,Param!$B17,0)</f>
        <v>0</v>
      </c>
      <c r="I33" s="46">
        <f>IF(I23&lt;=Param!$B15,Param!$B17,0)</f>
        <v>0</v>
      </c>
      <c r="J33" s="46">
        <f>IF(J23&lt;=Param!$B15,Param!$B17,0)</f>
        <v>0</v>
      </c>
      <c r="K33" s="46">
        <f>IF(K23&lt;=Param!$B15,Param!$B17,0)</f>
        <v>0</v>
      </c>
      <c r="L33" s="46">
        <f>IF(L23&lt;=Param!$B15,Param!$B17,0)</f>
        <v>0</v>
      </c>
    </row>
    <row r="34" spans="1:12" ht="12.75">
      <c r="A34" s="17" t="s">
        <v>46</v>
      </c>
      <c r="B34" s="71"/>
      <c r="C34" s="47">
        <f>IF(C23&lt;=Param!$D15,Param!$D17,0)</f>
        <v>0</v>
      </c>
      <c r="D34" s="47">
        <f>IF(D23&lt;=Param!$D15,Param!$D17,0)</f>
        <v>0</v>
      </c>
      <c r="E34" s="47">
        <f>IF(E23&lt;=Param!$D15,Param!$D17,0)</f>
        <v>0</v>
      </c>
      <c r="F34" s="47">
        <f>IF(F23&lt;=Param!$D15,Param!$D17,0)</f>
        <v>0</v>
      </c>
      <c r="G34" s="47">
        <f>IF(G23&lt;=Param!$D15,Param!$D17,0)</f>
        <v>0</v>
      </c>
      <c r="H34" s="47">
        <f>IF(H23&lt;=Param!$D15,Param!$D17,0)</f>
        <v>0</v>
      </c>
      <c r="I34" s="47">
        <f>IF(I23&lt;=Param!$D15,Param!$D17,0)</f>
        <v>0</v>
      </c>
      <c r="J34" s="47">
        <f>IF(J23&lt;=Param!$D15,Param!$D17,0)</f>
        <v>0</v>
      </c>
      <c r="K34" s="47">
        <f>IF(K23&lt;=Param!$D15,Param!$D17,0)</f>
        <v>0</v>
      </c>
      <c r="L34" s="47">
        <f>IF(L23&lt;=Param!$D15,Param!$D17,0)</f>
        <v>0</v>
      </c>
    </row>
    <row r="35" spans="1:12" ht="12.75">
      <c r="A35" s="62" t="s">
        <v>47</v>
      </c>
      <c r="B35" s="72"/>
      <c r="C35" s="63">
        <f aca="true" t="shared" si="8" ref="C35:L35">C32-(C33+C34)</f>
        <v>101990.82943143809</v>
      </c>
      <c r="D35" s="63">
        <f t="shared" si="8"/>
        <v>116190.82943143809</v>
      </c>
      <c r="E35" s="63">
        <f t="shared" si="8"/>
        <v>140390.8294314381</v>
      </c>
      <c r="F35" s="63">
        <f t="shared" si="8"/>
        <v>154590.8294314381</v>
      </c>
      <c r="G35" s="63">
        <f t="shared" si="8"/>
        <v>168790.8294314381</v>
      </c>
      <c r="H35" s="63">
        <f t="shared" si="8"/>
        <v>368200</v>
      </c>
      <c r="I35" s="63">
        <f t="shared" si="8"/>
        <v>382400</v>
      </c>
      <c r="J35" s="63">
        <f t="shared" si="8"/>
        <v>396600</v>
      </c>
      <c r="K35" s="63">
        <f t="shared" si="8"/>
        <v>410800</v>
      </c>
      <c r="L35" s="63">
        <f t="shared" si="8"/>
        <v>425000</v>
      </c>
    </row>
    <row r="36" spans="1:12" ht="12.75">
      <c r="A36" s="17" t="s">
        <v>48</v>
      </c>
      <c r="B36" s="71"/>
      <c r="C36" s="47">
        <f>Param!$B3*Scénario1!C35</f>
        <v>33996.94314381269</v>
      </c>
      <c r="D36" s="47">
        <f>Param!$B3*Scénario1!D35</f>
        <v>38730.27647714603</v>
      </c>
      <c r="E36" s="47">
        <f>Param!$B3*Scénario1!E35</f>
        <v>46796.94314381269</v>
      </c>
      <c r="F36" s="47">
        <f>Param!$B3*Scénario1!F35</f>
        <v>51530.27647714603</v>
      </c>
      <c r="G36" s="47">
        <f>Param!$B3*Scénario1!G35</f>
        <v>56263.609810479364</v>
      </c>
      <c r="H36" s="47">
        <f>Param!$B3*Scénario1!H35</f>
        <v>122733.33333333333</v>
      </c>
      <c r="I36" s="47">
        <f>Param!$B3*Scénario1!I35</f>
        <v>127466.66666666666</v>
      </c>
      <c r="J36" s="47">
        <f>Param!$B3*Scénario1!J35</f>
        <v>132200</v>
      </c>
      <c r="K36" s="47">
        <f>Param!$B3*Scénario1!K35</f>
        <v>136933.3333333333</v>
      </c>
      <c r="L36" s="47">
        <f>Param!$B3*Scénario1!L35</f>
        <v>141666.66666666666</v>
      </c>
    </row>
    <row r="37" spans="1:12" ht="12.75">
      <c r="A37" s="62" t="s">
        <v>49</v>
      </c>
      <c r="B37" s="72"/>
      <c r="C37" s="63">
        <f aca="true" t="shared" si="9" ref="C37:L37">C35-C36</f>
        <v>67993.8862876254</v>
      </c>
      <c r="D37" s="63">
        <f t="shared" si="9"/>
        <v>77460.55295429207</v>
      </c>
      <c r="E37" s="63">
        <f t="shared" si="9"/>
        <v>93593.8862876254</v>
      </c>
      <c r="F37" s="63">
        <f t="shared" si="9"/>
        <v>103060.55295429207</v>
      </c>
      <c r="G37" s="63">
        <f t="shared" si="9"/>
        <v>112527.21962095873</v>
      </c>
      <c r="H37" s="63">
        <f t="shared" si="9"/>
        <v>245466.6666666667</v>
      </c>
      <c r="I37" s="63">
        <f t="shared" si="9"/>
        <v>254933.33333333334</v>
      </c>
      <c r="J37" s="63">
        <f t="shared" si="9"/>
        <v>264400</v>
      </c>
      <c r="K37" s="63">
        <f t="shared" si="9"/>
        <v>273866.6666666667</v>
      </c>
      <c r="L37" s="63">
        <f t="shared" si="9"/>
        <v>283333.3333333334</v>
      </c>
    </row>
    <row r="38" spans="1:12" ht="12.75">
      <c r="A38" s="17" t="s">
        <v>45</v>
      </c>
      <c r="B38" s="71"/>
      <c r="C38" s="47">
        <f aca="true" t="shared" si="10" ref="C38:L38">C33</f>
        <v>185209.1705685619</v>
      </c>
      <c r="D38" s="47">
        <f t="shared" si="10"/>
        <v>185209.1705685619</v>
      </c>
      <c r="E38" s="47">
        <f t="shared" si="10"/>
        <v>185209.1705685619</v>
      </c>
      <c r="F38" s="47">
        <f t="shared" si="10"/>
        <v>185209.1705685619</v>
      </c>
      <c r="G38" s="47">
        <f t="shared" si="10"/>
        <v>185209.1705685619</v>
      </c>
      <c r="H38" s="47">
        <f t="shared" si="10"/>
        <v>0</v>
      </c>
      <c r="I38" s="47">
        <f t="shared" si="10"/>
        <v>0</v>
      </c>
      <c r="J38" s="47">
        <f t="shared" si="10"/>
        <v>0</v>
      </c>
      <c r="K38" s="47">
        <f t="shared" si="10"/>
        <v>0</v>
      </c>
      <c r="L38" s="47">
        <f t="shared" si="10"/>
        <v>0</v>
      </c>
    </row>
    <row r="39" spans="1:12" ht="13.5" thickBot="1">
      <c r="A39" s="17" t="s">
        <v>46</v>
      </c>
      <c r="B39" s="71"/>
      <c r="C39" s="47">
        <f aca="true" t="shared" si="11" ref="C39:L39">C34</f>
        <v>0</v>
      </c>
      <c r="D39" s="47">
        <f t="shared" si="11"/>
        <v>0</v>
      </c>
      <c r="E39" s="47">
        <f t="shared" si="11"/>
        <v>0</v>
      </c>
      <c r="F39" s="47">
        <f t="shared" si="11"/>
        <v>0</v>
      </c>
      <c r="G39" s="47">
        <f t="shared" si="11"/>
        <v>0</v>
      </c>
      <c r="H39" s="47">
        <f t="shared" si="11"/>
        <v>0</v>
      </c>
      <c r="I39" s="47">
        <f t="shared" si="11"/>
        <v>0</v>
      </c>
      <c r="J39" s="47">
        <f t="shared" si="11"/>
        <v>0</v>
      </c>
      <c r="K39" s="47">
        <f t="shared" si="11"/>
        <v>0</v>
      </c>
      <c r="L39" s="47">
        <f t="shared" si="11"/>
        <v>0</v>
      </c>
    </row>
    <row r="40" spans="1:12" ht="14.25" thickBot="1" thickTop="1">
      <c r="A40" s="53" t="s">
        <v>50</v>
      </c>
      <c r="B40" s="70">
        <v>0</v>
      </c>
      <c r="C40" s="67">
        <f aca="true" t="shared" si="12" ref="C40:L40">C37+C38+C39</f>
        <v>253203.0568561873</v>
      </c>
      <c r="D40" s="67">
        <f t="shared" si="12"/>
        <v>262669.723522854</v>
      </c>
      <c r="E40" s="67">
        <f t="shared" si="12"/>
        <v>278803.0568561873</v>
      </c>
      <c r="F40" s="67">
        <f t="shared" si="12"/>
        <v>288269.723522854</v>
      </c>
      <c r="G40" s="67">
        <f t="shared" si="12"/>
        <v>297736.39018952067</v>
      </c>
      <c r="H40" s="67">
        <f t="shared" si="12"/>
        <v>245466.6666666667</v>
      </c>
      <c r="I40" s="67">
        <f t="shared" si="12"/>
        <v>254933.33333333334</v>
      </c>
      <c r="J40" s="67">
        <f t="shared" si="12"/>
        <v>264400</v>
      </c>
      <c r="K40" s="67">
        <f t="shared" si="12"/>
        <v>273866.6666666667</v>
      </c>
      <c r="L40" s="67">
        <f t="shared" si="12"/>
        <v>283333.3333333334</v>
      </c>
    </row>
    <row r="41" ht="14.25" thickBot="1" thickTop="1"/>
    <row r="42" spans="1:12" ht="14.25" thickBot="1" thickTop="1">
      <c r="A42" s="53" t="s">
        <v>80</v>
      </c>
      <c r="B42" s="75">
        <f aca="true" t="shared" si="13" ref="B42:L42">B23</f>
        <v>0</v>
      </c>
      <c r="C42" s="66">
        <f t="shared" si="13"/>
        <v>1</v>
      </c>
      <c r="D42" s="66">
        <f t="shared" si="13"/>
        <v>2</v>
      </c>
      <c r="E42" s="66">
        <f t="shared" si="13"/>
        <v>3</v>
      </c>
      <c r="F42" s="66">
        <f t="shared" si="13"/>
        <v>4</v>
      </c>
      <c r="G42" s="66">
        <f t="shared" si="13"/>
        <v>5</v>
      </c>
      <c r="H42" s="66">
        <f t="shared" si="13"/>
        <v>6</v>
      </c>
      <c r="I42" s="66">
        <f t="shared" si="13"/>
        <v>7</v>
      </c>
      <c r="J42" s="66">
        <f t="shared" si="13"/>
        <v>8</v>
      </c>
      <c r="K42" s="66">
        <f t="shared" si="13"/>
        <v>9</v>
      </c>
      <c r="L42" s="66">
        <f t="shared" si="13"/>
        <v>10</v>
      </c>
    </row>
    <row r="43" spans="1:12" ht="13.5" thickTop="1">
      <c r="A43" s="17" t="s">
        <v>52</v>
      </c>
      <c r="B43" s="71"/>
      <c r="C43" s="46">
        <f>Param!$B31*$B7</f>
        <v>0</v>
      </c>
      <c r="D43" s="46">
        <f>Param!$B31*$B7</f>
        <v>0</v>
      </c>
      <c r="E43" s="46">
        <f>Param!$B31*$B7</f>
        <v>0</v>
      </c>
      <c r="F43" s="46">
        <f>Param!$B31*$B7</f>
        <v>0</v>
      </c>
      <c r="G43" s="46">
        <f>Param!$B31*$B7</f>
        <v>0</v>
      </c>
      <c r="H43" s="46">
        <f>Param!$B31*$B7</f>
        <v>0</v>
      </c>
      <c r="I43" s="46">
        <f>Param!$B31*$B7</f>
        <v>0</v>
      </c>
      <c r="J43" s="46">
        <f>Param!$B31*$B7</f>
        <v>0</v>
      </c>
      <c r="K43" s="46">
        <f>Param!$B31*$B7</f>
        <v>0</v>
      </c>
      <c r="L43" s="46">
        <f>Param!$B31*$B7</f>
        <v>0</v>
      </c>
    </row>
    <row r="44" spans="1:12" ht="12.75">
      <c r="A44" s="17" t="s">
        <v>53</v>
      </c>
      <c r="B44" s="71"/>
      <c r="C44" s="47">
        <f>Param!$C31*C11</f>
        <v>340000</v>
      </c>
      <c r="D44" s="47">
        <f>Param!$C31*D11</f>
        <v>380000</v>
      </c>
      <c r="E44" s="47">
        <f>Param!$C31*E11</f>
        <v>420000</v>
      </c>
      <c r="F44" s="47">
        <f>Param!$C31*F11</f>
        <v>460000</v>
      </c>
      <c r="G44" s="47">
        <f>Param!$C31*G11</f>
        <v>500000</v>
      </c>
      <c r="H44" s="47">
        <f>Param!$C31*H11</f>
        <v>540000</v>
      </c>
      <c r="I44" s="47">
        <f>Param!$C31*I11</f>
        <v>580000</v>
      </c>
      <c r="J44" s="47">
        <f>Param!$C31*J11</f>
        <v>620000</v>
      </c>
      <c r="K44" s="47">
        <f>Param!$C31*K11</f>
        <v>660000</v>
      </c>
      <c r="L44" s="47">
        <f>Param!$C31*L11</f>
        <v>700000</v>
      </c>
    </row>
    <row r="45" spans="1:12" ht="12.75">
      <c r="A45" s="62" t="s">
        <v>54</v>
      </c>
      <c r="B45" s="72"/>
      <c r="C45" s="63">
        <f aca="true" t="shared" si="14" ref="C45:L45">SUM(C43:C44)</f>
        <v>340000</v>
      </c>
      <c r="D45" s="63">
        <f t="shared" si="14"/>
        <v>380000</v>
      </c>
      <c r="E45" s="63">
        <f t="shared" si="14"/>
        <v>420000</v>
      </c>
      <c r="F45" s="63">
        <f t="shared" si="14"/>
        <v>460000</v>
      </c>
      <c r="G45" s="63">
        <f t="shared" si="14"/>
        <v>500000</v>
      </c>
      <c r="H45" s="63">
        <f t="shared" si="14"/>
        <v>540000</v>
      </c>
      <c r="I45" s="63">
        <f t="shared" si="14"/>
        <v>580000</v>
      </c>
      <c r="J45" s="63">
        <f t="shared" si="14"/>
        <v>620000</v>
      </c>
      <c r="K45" s="63">
        <f t="shared" si="14"/>
        <v>660000</v>
      </c>
      <c r="L45" s="63">
        <f t="shared" si="14"/>
        <v>700000</v>
      </c>
    </row>
    <row r="46" spans="1:12" ht="12.75">
      <c r="A46" s="17" t="s">
        <v>39</v>
      </c>
      <c r="B46" s="71"/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</row>
    <row r="47" spans="1:12" ht="12.75">
      <c r="A47" s="17" t="s">
        <v>40</v>
      </c>
      <c r="B47" s="71"/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</row>
    <row r="48" spans="1:12" ht="12.75">
      <c r="A48" s="17" t="s">
        <v>41</v>
      </c>
      <c r="B48" s="71"/>
      <c r="C48" s="47">
        <f>Param!$D35*$B16</f>
        <v>240000</v>
      </c>
      <c r="D48" s="47">
        <f>Param!$D35*$B16</f>
        <v>240000</v>
      </c>
      <c r="E48" s="47">
        <f>Param!$D35*$B16</f>
        <v>240000</v>
      </c>
      <c r="F48" s="47">
        <f>Param!$D35*$B16</f>
        <v>240000</v>
      </c>
      <c r="G48" s="47">
        <f>Param!$D35*$B16</f>
        <v>240000</v>
      </c>
      <c r="H48" s="47">
        <f>Param!$D35*$B16</f>
        <v>240000</v>
      </c>
      <c r="I48" s="47">
        <f>Param!$D35*$B16</f>
        <v>240000</v>
      </c>
      <c r="J48" s="47">
        <f>Param!$D35*$B16</f>
        <v>240000</v>
      </c>
      <c r="K48" s="47">
        <f>Param!$D35*$B16</f>
        <v>240000</v>
      </c>
      <c r="L48" s="47">
        <f>Param!$D35*$B16</f>
        <v>240000</v>
      </c>
    </row>
    <row r="49" spans="1:12" ht="12.75">
      <c r="A49" s="17" t="s">
        <v>42</v>
      </c>
      <c r="B49" s="71"/>
      <c r="C49" s="47">
        <f>Param!$E35*(C11-$B16)</f>
        <v>36000</v>
      </c>
      <c r="D49" s="47">
        <f>Param!$E35*(D11-$B16)</f>
        <v>72000</v>
      </c>
      <c r="E49" s="47">
        <f>Param!$E35*(E11-$B16)</f>
        <v>108000</v>
      </c>
      <c r="F49" s="47">
        <f>Param!$E35*(F11-$B16)</f>
        <v>144000</v>
      </c>
      <c r="G49" s="47">
        <f>Param!$E35*(G11-$B16)</f>
        <v>180000</v>
      </c>
      <c r="H49" s="47">
        <f>Param!$E35*(H11-$B16)</f>
        <v>216000</v>
      </c>
      <c r="I49" s="47">
        <f>Param!$E35*(I11-$B16)</f>
        <v>252000</v>
      </c>
      <c r="J49" s="47">
        <f>Param!$E35*(J11-$B16)</f>
        <v>288000</v>
      </c>
      <c r="K49" s="47">
        <f>Param!$E35*(K11-$B16)</f>
        <v>324000</v>
      </c>
      <c r="L49" s="47">
        <f>Param!$E35*(L11-$B16)</f>
        <v>360000</v>
      </c>
    </row>
    <row r="50" spans="1:12" ht="12.75">
      <c r="A50" s="17" t="s">
        <v>43</v>
      </c>
      <c r="B50" s="71"/>
      <c r="C50" s="47">
        <f aca="true" t="shared" si="15" ref="C50:L50">SUM(C46:C49)</f>
        <v>276000</v>
      </c>
      <c r="D50" s="47">
        <f t="shared" si="15"/>
        <v>312000</v>
      </c>
      <c r="E50" s="47">
        <f t="shared" si="15"/>
        <v>348000</v>
      </c>
      <c r="F50" s="47">
        <f t="shared" si="15"/>
        <v>384000</v>
      </c>
      <c r="G50" s="47">
        <f t="shared" si="15"/>
        <v>420000</v>
      </c>
      <c r="H50" s="47">
        <f t="shared" si="15"/>
        <v>456000</v>
      </c>
      <c r="I50" s="47">
        <f t="shared" si="15"/>
        <v>492000</v>
      </c>
      <c r="J50" s="47">
        <f t="shared" si="15"/>
        <v>528000</v>
      </c>
      <c r="K50" s="47">
        <f t="shared" si="15"/>
        <v>564000</v>
      </c>
      <c r="L50" s="47">
        <f t="shared" si="15"/>
        <v>600000</v>
      </c>
    </row>
    <row r="51" spans="1:12" ht="12.75">
      <c r="A51" s="62" t="s">
        <v>44</v>
      </c>
      <c r="B51" s="72"/>
      <c r="C51" s="63">
        <f aca="true" t="shared" si="16" ref="C51:L51">C45-C50</f>
        <v>64000</v>
      </c>
      <c r="D51" s="63">
        <f t="shared" si="16"/>
        <v>68000</v>
      </c>
      <c r="E51" s="63">
        <f t="shared" si="16"/>
        <v>72000</v>
      </c>
      <c r="F51" s="63">
        <f t="shared" si="16"/>
        <v>76000</v>
      </c>
      <c r="G51" s="63">
        <f t="shared" si="16"/>
        <v>80000</v>
      </c>
      <c r="H51" s="63">
        <f t="shared" si="16"/>
        <v>84000</v>
      </c>
      <c r="I51" s="63">
        <f t="shared" si="16"/>
        <v>88000</v>
      </c>
      <c r="J51" s="63">
        <f t="shared" si="16"/>
        <v>92000</v>
      </c>
      <c r="K51" s="63">
        <f t="shared" si="16"/>
        <v>96000</v>
      </c>
      <c r="L51" s="63">
        <f t="shared" si="16"/>
        <v>100000</v>
      </c>
    </row>
    <row r="52" spans="1:12" ht="12.75">
      <c r="A52" s="17" t="s">
        <v>45</v>
      </c>
      <c r="B52" s="71"/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</row>
    <row r="53" spans="1:12" ht="12.75">
      <c r="A53" s="17" t="s">
        <v>46</v>
      </c>
      <c r="B53" s="71"/>
      <c r="C53" s="47">
        <f>IF(Scénario1!C23&lt;=Param!$C16,Param!$C17,0)</f>
        <v>120000</v>
      </c>
      <c r="D53" s="47">
        <f>IF(Scénario1!D23&lt;=Param!$C16,Param!$C17,0)</f>
        <v>0</v>
      </c>
      <c r="E53" s="47">
        <f>IF(Scénario1!E23&lt;=Param!$C16,Param!$C17,0)</f>
        <v>0</v>
      </c>
      <c r="F53" s="47">
        <f>IF(Scénario1!F23&lt;=Param!$C16,Param!$C17,0)</f>
        <v>0</v>
      </c>
      <c r="G53" s="47">
        <f>IF(Scénario1!G23&lt;=Param!$C16,Param!$C17,0)</f>
        <v>0</v>
      </c>
      <c r="H53" s="47">
        <f>IF(Scénario1!H23&lt;=Param!$C16,Param!$C17,0)</f>
        <v>0</v>
      </c>
      <c r="I53" s="47">
        <f>IF(Scénario1!I23&lt;=Param!$C16,Param!$C17,0)</f>
        <v>0</v>
      </c>
      <c r="J53" s="47">
        <f>IF(Scénario1!J23&lt;=Param!$C16,Param!$C17,0)</f>
        <v>0</v>
      </c>
      <c r="K53" s="47">
        <f>IF(Scénario1!K23&lt;=Param!$C16,Param!$C17,0)</f>
        <v>0</v>
      </c>
      <c r="L53" s="47">
        <f>IF(Scénario1!L23&lt;=Param!$C16,Param!$C17,0)</f>
        <v>0</v>
      </c>
    </row>
    <row r="54" spans="1:12" ht="12.75">
      <c r="A54" s="62" t="s">
        <v>47</v>
      </c>
      <c r="B54" s="72"/>
      <c r="C54" s="63">
        <f aca="true" t="shared" si="17" ref="C54:L54">C51-(C52+C53)</f>
        <v>-56000</v>
      </c>
      <c r="D54" s="63">
        <f t="shared" si="17"/>
        <v>68000</v>
      </c>
      <c r="E54" s="63">
        <f t="shared" si="17"/>
        <v>72000</v>
      </c>
      <c r="F54" s="63">
        <f t="shared" si="17"/>
        <v>76000</v>
      </c>
      <c r="G54" s="63">
        <f t="shared" si="17"/>
        <v>80000</v>
      </c>
      <c r="H54" s="63">
        <f t="shared" si="17"/>
        <v>84000</v>
      </c>
      <c r="I54" s="63">
        <f t="shared" si="17"/>
        <v>88000</v>
      </c>
      <c r="J54" s="63">
        <f t="shared" si="17"/>
        <v>92000</v>
      </c>
      <c r="K54" s="63">
        <f t="shared" si="17"/>
        <v>96000</v>
      </c>
      <c r="L54" s="63">
        <f t="shared" si="17"/>
        <v>100000</v>
      </c>
    </row>
    <row r="55" spans="1:12" ht="12.75">
      <c r="A55" s="17" t="s">
        <v>48</v>
      </c>
      <c r="B55" s="71"/>
      <c r="C55" s="47">
        <f>Param!$B3*Scénario1!C54</f>
        <v>-18666.666666666664</v>
      </c>
      <c r="D55" s="47">
        <f>Param!$B3*Scénario1!D54</f>
        <v>22666.666666666664</v>
      </c>
      <c r="E55" s="47">
        <f>Param!$B3*Scénario1!E54</f>
        <v>24000</v>
      </c>
      <c r="F55" s="47">
        <f>Param!$B3*Scénario1!F54</f>
        <v>25333.333333333332</v>
      </c>
      <c r="G55" s="47">
        <f>Param!$B3*Scénario1!G54</f>
        <v>26666.666666666664</v>
      </c>
      <c r="H55" s="47">
        <f>Param!$B3*Scénario1!H54</f>
        <v>28000</v>
      </c>
      <c r="I55" s="47">
        <f>Param!$B3*Scénario1!I54</f>
        <v>29333.333333333332</v>
      </c>
      <c r="J55" s="47">
        <f>Param!$B3*Scénario1!J54</f>
        <v>30666.666666666664</v>
      </c>
      <c r="K55" s="47">
        <f>Param!$B3*Scénario1!K54</f>
        <v>32000</v>
      </c>
      <c r="L55" s="47">
        <f>Param!$B3*Scénario1!L54</f>
        <v>33333.33333333333</v>
      </c>
    </row>
    <row r="56" spans="1:12" ht="12.75">
      <c r="A56" s="62" t="s">
        <v>49</v>
      </c>
      <c r="B56" s="72"/>
      <c r="C56" s="63">
        <f aca="true" t="shared" si="18" ref="C56:L56">C54-C55</f>
        <v>-37333.333333333336</v>
      </c>
      <c r="D56" s="63">
        <f t="shared" si="18"/>
        <v>45333.333333333336</v>
      </c>
      <c r="E56" s="63">
        <f t="shared" si="18"/>
        <v>48000</v>
      </c>
      <c r="F56" s="63">
        <f t="shared" si="18"/>
        <v>50666.66666666667</v>
      </c>
      <c r="G56" s="63">
        <f t="shared" si="18"/>
        <v>53333.333333333336</v>
      </c>
      <c r="H56" s="63">
        <f t="shared" si="18"/>
        <v>56000</v>
      </c>
      <c r="I56" s="63">
        <f t="shared" si="18"/>
        <v>58666.66666666667</v>
      </c>
      <c r="J56" s="63">
        <f t="shared" si="18"/>
        <v>61333.333333333336</v>
      </c>
      <c r="K56" s="63">
        <f t="shared" si="18"/>
        <v>64000</v>
      </c>
      <c r="L56" s="63">
        <f t="shared" si="18"/>
        <v>66666.66666666667</v>
      </c>
    </row>
    <row r="57" spans="1:12" ht="12.75">
      <c r="A57" s="17" t="s">
        <v>45</v>
      </c>
      <c r="B57" s="71"/>
      <c r="C57" s="47">
        <f aca="true" t="shared" si="19" ref="C57:L57">C52</f>
        <v>0</v>
      </c>
      <c r="D57" s="47">
        <f t="shared" si="19"/>
        <v>0</v>
      </c>
      <c r="E57" s="47">
        <f t="shared" si="19"/>
        <v>0</v>
      </c>
      <c r="F57" s="47">
        <f t="shared" si="19"/>
        <v>0</v>
      </c>
      <c r="G57" s="47">
        <f t="shared" si="19"/>
        <v>0</v>
      </c>
      <c r="H57" s="47">
        <f t="shared" si="19"/>
        <v>0</v>
      </c>
      <c r="I57" s="47">
        <f t="shared" si="19"/>
        <v>0</v>
      </c>
      <c r="J57" s="47">
        <f t="shared" si="19"/>
        <v>0</v>
      </c>
      <c r="K57" s="47">
        <f t="shared" si="19"/>
        <v>0</v>
      </c>
      <c r="L57" s="47">
        <f t="shared" si="19"/>
        <v>0</v>
      </c>
    </row>
    <row r="58" spans="1:12" ht="12.75">
      <c r="A58" s="17" t="s">
        <v>46</v>
      </c>
      <c r="B58" s="71"/>
      <c r="C58" s="47">
        <f aca="true" t="shared" si="20" ref="C58:L58">C53</f>
        <v>120000</v>
      </c>
      <c r="D58" s="47">
        <f t="shared" si="20"/>
        <v>0</v>
      </c>
      <c r="E58" s="47">
        <f t="shared" si="20"/>
        <v>0</v>
      </c>
      <c r="F58" s="47">
        <f t="shared" si="20"/>
        <v>0</v>
      </c>
      <c r="G58" s="47">
        <f t="shared" si="20"/>
        <v>0</v>
      </c>
      <c r="H58" s="47">
        <f t="shared" si="20"/>
        <v>0</v>
      </c>
      <c r="I58" s="47">
        <f t="shared" si="20"/>
        <v>0</v>
      </c>
      <c r="J58" s="47">
        <f t="shared" si="20"/>
        <v>0</v>
      </c>
      <c r="K58" s="47">
        <f t="shared" si="20"/>
        <v>0</v>
      </c>
      <c r="L58" s="47">
        <f t="shared" si="20"/>
        <v>0</v>
      </c>
    </row>
    <row r="59" spans="1:12" ht="13.5" thickBot="1">
      <c r="A59" s="64" t="s">
        <v>50</v>
      </c>
      <c r="B59" s="76">
        <v>0</v>
      </c>
      <c r="C59" s="65">
        <f aca="true" t="shared" si="21" ref="C59:L59">C56+C57+C58</f>
        <v>82666.66666666666</v>
      </c>
      <c r="D59" s="65">
        <f t="shared" si="21"/>
        <v>45333.333333333336</v>
      </c>
      <c r="E59" s="65">
        <f t="shared" si="21"/>
        <v>48000</v>
      </c>
      <c r="F59" s="65">
        <f t="shared" si="21"/>
        <v>50666.66666666667</v>
      </c>
      <c r="G59" s="65">
        <f t="shared" si="21"/>
        <v>53333.333333333336</v>
      </c>
      <c r="H59" s="65">
        <f t="shared" si="21"/>
        <v>56000</v>
      </c>
      <c r="I59" s="65">
        <f t="shared" si="21"/>
        <v>58666.66666666667</v>
      </c>
      <c r="J59" s="65">
        <f t="shared" si="21"/>
        <v>61333.333333333336</v>
      </c>
      <c r="K59" s="65">
        <f t="shared" si="21"/>
        <v>64000</v>
      </c>
      <c r="L59" s="65">
        <f t="shared" si="21"/>
        <v>66666.66666666667</v>
      </c>
    </row>
    <row r="60" spans="1:12" ht="14.25" thickBot="1" thickTop="1">
      <c r="A60" s="68"/>
      <c r="B60" s="74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s="79" customFormat="1" ht="12" customHeight="1" thickBot="1" thickTop="1">
      <c r="A61" s="80" t="s">
        <v>89</v>
      </c>
      <c r="B61" s="77">
        <f>B23</f>
        <v>0</v>
      </c>
      <c r="C61" s="78">
        <f>C23</f>
        <v>1</v>
      </c>
      <c r="D61" s="78">
        <f aca="true" t="shared" si="22" ref="D61:L61">D23</f>
        <v>2</v>
      </c>
      <c r="E61" s="78">
        <f t="shared" si="22"/>
        <v>3</v>
      </c>
      <c r="F61" s="78">
        <f t="shared" si="22"/>
        <v>4</v>
      </c>
      <c r="G61" s="78">
        <f t="shared" si="22"/>
        <v>5</v>
      </c>
      <c r="H61" s="78">
        <f t="shared" si="22"/>
        <v>6</v>
      </c>
      <c r="I61" s="78">
        <f t="shared" si="22"/>
        <v>7</v>
      </c>
      <c r="J61" s="78">
        <f t="shared" si="22"/>
        <v>8</v>
      </c>
      <c r="K61" s="78">
        <f t="shared" si="22"/>
        <v>9</v>
      </c>
      <c r="L61" s="78">
        <f t="shared" si="22"/>
        <v>10</v>
      </c>
    </row>
    <row r="62" spans="1:12" ht="14.25" thickBot="1" thickTop="1">
      <c r="A62" s="53" t="s">
        <v>51</v>
      </c>
      <c r="B62" s="70">
        <f aca="true" t="shared" si="23" ref="B62:L62">B40-B59</f>
        <v>0</v>
      </c>
      <c r="C62" s="70">
        <f t="shared" si="23"/>
        <v>170536.39018952064</v>
      </c>
      <c r="D62" s="70">
        <f t="shared" si="23"/>
        <v>217336.39018952064</v>
      </c>
      <c r="E62" s="70">
        <f t="shared" si="23"/>
        <v>230803.0568561873</v>
      </c>
      <c r="F62" s="70">
        <f t="shared" si="23"/>
        <v>237603.0568561873</v>
      </c>
      <c r="G62" s="70">
        <f t="shared" si="23"/>
        <v>244403.05685618732</v>
      </c>
      <c r="H62" s="70">
        <f t="shared" si="23"/>
        <v>189466.6666666667</v>
      </c>
      <c r="I62" s="70">
        <f t="shared" si="23"/>
        <v>196266.6666666667</v>
      </c>
      <c r="J62" s="70">
        <f t="shared" si="23"/>
        <v>203066.66666666666</v>
      </c>
      <c r="K62" s="70">
        <f t="shared" si="23"/>
        <v>209866.6666666667</v>
      </c>
      <c r="L62" s="70">
        <f t="shared" si="23"/>
        <v>216666.6666666667</v>
      </c>
    </row>
    <row r="63" ht="14.25" thickBot="1" thickTop="1"/>
    <row r="64" spans="1:12" ht="14.25" thickBot="1" thickTop="1">
      <c r="A64" s="53" t="s">
        <v>4</v>
      </c>
      <c r="B64" s="82">
        <f>B23</f>
        <v>0</v>
      </c>
      <c r="C64" s="82">
        <f aca="true" t="shared" si="24" ref="C64:L64">C23</f>
        <v>1</v>
      </c>
      <c r="D64" s="82">
        <f t="shared" si="24"/>
        <v>2</v>
      </c>
      <c r="E64" s="82">
        <f t="shared" si="24"/>
        <v>3</v>
      </c>
      <c r="F64" s="82">
        <f t="shared" si="24"/>
        <v>4</v>
      </c>
      <c r="G64" s="82">
        <f t="shared" si="24"/>
        <v>5</v>
      </c>
      <c r="H64" s="82">
        <f t="shared" si="24"/>
        <v>6</v>
      </c>
      <c r="I64" s="82">
        <f t="shared" si="24"/>
        <v>7</v>
      </c>
      <c r="J64" s="82">
        <f t="shared" si="24"/>
        <v>8</v>
      </c>
      <c r="K64" s="82">
        <f t="shared" si="24"/>
        <v>9</v>
      </c>
      <c r="L64" s="82">
        <f t="shared" si="24"/>
        <v>10</v>
      </c>
    </row>
    <row r="65" spans="1:12" ht="14.25" thickBot="1" thickTop="1">
      <c r="A65" s="53" t="s">
        <v>82</v>
      </c>
      <c r="B65" s="67">
        <f aca="true" t="shared" si="25" ref="B65:L65">SUM(B66:B67)</f>
        <v>926045.8528428095</v>
      </c>
      <c r="C65" s="67">
        <f t="shared" si="25"/>
        <v>0</v>
      </c>
      <c r="D65" s="67">
        <f t="shared" si="25"/>
        <v>0</v>
      </c>
      <c r="E65" s="67">
        <f t="shared" si="25"/>
        <v>0</v>
      </c>
      <c r="F65" s="67">
        <f t="shared" si="25"/>
        <v>0</v>
      </c>
      <c r="G65" s="67">
        <f t="shared" si="25"/>
        <v>0</v>
      </c>
      <c r="H65" s="67">
        <f t="shared" si="25"/>
        <v>0</v>
      </c>
      <c r="I65" s="67">
        <f t="shared" si="25"/>
        <v>0</v>
      </c>
      <c r="J65" s="67">
        <f t="shared" si="25"/>
        <v>0</v>
      </c>
      <c r="K65" s="67">
        <f t="shared" si="25"/>
        <v>0</v>
      </c>
      <c r="L65" s="67">
        <f t="shared" si="25"/>
        <v>0</v>
      </c>
    </row>
    <row r="66" spans="1:12" ht="13.5" thickTop="1">
      <c r="A66" s="17" t="s">
        <v>88</v>
      </c>
      <c r="B66" s="47">
        <f>Param!B10</f>
        <v>926045.8528428095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 ht="13.5" thickBot="1">
      <c r="A67" s="17" t="s">
        <v>91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</row>
    <row r="68" spans="1:12" ht="14.25" thickBot="1" thickTop="1">
      <c r="A68" s="53" t="s">
        <v>83</v>
      </c>
      <c r="B68" s="67">
        <f>SUM(B69:B72)</f>
        <v>162000</v>
      </c>
      <c r="C68" s="67">
        <f aca="true" t="shared" si="26" ref="C68:L68">SUM(C69:C72)</f>
        <v>170536.39018952064</v>
      </c>
      <c r="D68" s="67">
        <f t="shared" si="26"/>
        <v>217336.39018952064</v>
      </c>
      <c r="E68" s="67">
        <f t="shared" si="26"/>
        <v>230803.0568561873</v>
      </c>
      <c r="F68" s="67">
        <f t="shared" si="26"/>
        <v>237603.0568561873</v>
      </c>
      <c r="G68" s="67">
        <f t="shared" si="26"/>
        <v>244403.05685618732</v>
      </c>
      <c r="H68" s="67">
        <f t="shared" si="26"/>
        <v>189466.6666666667</v>
      </c>
      <c r="I68" s="67">
        <f t="shared" si="26"/>
        <v>196266.6666666667</v>
      </c>
      <c r="J68" s="67">
        <f t="shared" si="26"/>
        <v>203066.66666666666</v>
      </c>
      <c r="K68" s="67">
        <f t="shared" si="26"/>
        <v>209866.6666666667</v>
      </c>
      <c r="L68" s="67">
        <f t="shared" si="26"/>
        <v>342139.44704570796</v>
      </c>
    </row>
    <row r="69" spans="1:12" ht="13.5" thickTop="1">
      <c r="A69" s="17" t="s">
        <v>84</v>
      </c>
      <c r="B69" s="47">
        <f>B62</f>
        <v>0</v>
      </c>
      <c r="C69" s="47">
        <f aca="true" t="shared" si="27" ref="C69:L69">C62</f>
        <v>170536.39018952064</v>
      </c>
      <c r="D69" s="47">
        <f t="shared" si="27"/>
        <v>217336.39018952064</v>
      </c>
      <c r="E69" s="47">
        <f t="shared" si="27"/>
        <v>230803.0568561873</v>
      </c>
      <c r="F69" s="47">
        <f t="shared" si="27"/>
        <v>237603.0568561873</v>
      </c>
      <c r="G69" s="47">
        <f t="shared" si="27"/>
        <v>244403.05685618732</v>
      </c>
      <c r="H69" s="47">
        <f t="shared" si="27"/>
        <v>189466.6666666667</v>
      </c>
      <c r="I69" s="47">
        <f t="shared" si="27"/>
        <v>196266.6666666667</v>
      </c>
      <c r="J69" s="47">
        <f t="shared" si="27"/>
        <v>203066.66666666666</v>
      </c>
      <c r="K69" s="47">
        <f t="shared" si="27"/>
        <v>209866.6666666667</v>
      </c>
      <c r="L69" s="47">
        <f t="shared" si="27"/>
        <v>216666.6666666667</v>
      </c>
    </row>
    <row r="70" spans="1:12" ht="12.75">
      <c r="A70" s="17" t="s">
        <v>86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>
        <f>Param!B27+Param!E27</f>
        <v>125472.78037904127</v>
      </c>
    </row>
    <row r="71" spans="1:12" ht="12.75">
      <c r="A71" s="17" t="s">
        <v>87</v>
      </c>
      <c r="B71" s="47">
        <f>Param!C27+Param!D27</f>
        <v>162000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2" ht="13.5" thickBot="1">
      <c r="A72" s="17" t="s">
        <v>85</v>
      </c>
      <c r="B72" s="37"/>
      <c r="C72" s="47"/>
      <c r="D72" s="47"/>
      <c r="E72" s="47"/>
      <c r="F72" s="47"/>
      <c r="G72" s="47"/>
      <c r="H72" s="47"/>
      <c r="I72" s="47"/>
      <c r="J72" s="47"/>
      <c r="K72" s="47"/>
      <c r="L72" s="47">
        <f>B67:L67</f>
        <v>0</v>
      </c>
    </row>
    <row r="73" spans="1:12" ht="14.25" thickBot="1" thickTop="1">
      <c r="A73" s="53" t="s">
        <v>90</v>
      </c>
      <c r="B73" s="84">
        <f aca="true" t="shared" si="28" ref="B73:L73">B68-B65</f>
        <v>-764045.8528428095</v>
      </c>
      <c r="C73" s="84">
        <f t="shared" si="28"/>
        <v>170536.39018952064</v>
      </c>
      <c r="D73" s="84">
        <f t="shared" si="28"/>
        <v>217336.39018952064</v>
      </c>
      <c r="E73" s="84">
        <f t="shared" si="28"/>
        <v>230803.0568561873</v>
      </c>
      <c r="F73" s="84">
        <f t="shared" si="28"/>
        <v>237603.0568561873</v>
      </c>
      <c r="G73" s="84">
        <f t="shared" si="28"/>
        <v>244403.05685618732</v>
      </c>
      <c r="H73" s="84">
        <f t="shared" si="28"/>
        <v>189466.6666666667</v>
      </c>
      <c r="I73" s="84">
        <f t="shared" si="28"/>
        <v>196266.6666666667</v>
      </c>
      <c r="J73" s="84">
        <f t="shared" si="28"/>
        <v>203066.66666666666</v>
      </c>
      <c r="K73" s="84">
        <f t="shared" si="28"/>
        <v>209866.6666666667</v>
      </c>
      <c r="L73" s="84">
        <f t="shared" si="28"/>
        <v>342139.44704570796</v>
      </c>
    </row>
    <row r="74" ht="13.5" thickTop="1"/>
    <row r="75" spans="1:5" ht="12.75">
      <c r="A75" s="31" t="s">
        <v>92</v>
      </c>
      <c r="B75" s="83">
        <f>Param!D3</f>
        <v>0.1</v>
      </c>
      <c r="C75" s="81"/>
      <c r="D75" s="31" t="s">
        <v>93</v>
      </c>
      <c r="E75" s="61">
        <f>NPV($B75,$C73,$D73,$E73,$F73,$G73,$H73,$I73,$J73,$K73,$L73)+$B73</f>
        <v>581361.4348717382</v>
      </c>
    </row>
    <row r="76" ht="12.75">
      <c r="B76" s="3"/>
    </row>
  </sheetData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scale="60" r:id="rId1"/>
  <headerFooter alignWithMargins="0">
    <oddHeader>&amp;CCas Fabien (Corrigé : J.F. GUEUGNON)</oddHeader>
    <oddFooter>&amp;C&amp;A - Page &amp;P</oddFooter>
  </headerFooter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workbookViewId="0" topLeftCell="A43">
      <selection activeCell="B76" sqref="B76"/>
    </sheetView>
  </sheetViews>
  <sheetFormatPr defaultColWidth="11.421875" defaultRowHeight="12.75"/>
  <cols>
    <col min="1" max="1" width="36.8515625" style="3" customWidth="1"/>
    <col min="2" max="2" width="16.8515625" style="73" customWidth="1"/>
    <col min="3" max="3" width="17.00390625" style="3" customWidth="1"/>
    <col min="4" max="12" width="16.8515625" style="3" customWidth="1"/>
    <col min="13" max="16384" width="36.8515625" style="3" customWidth="1"/>
  </cols>
  <sheetData>
    <row r="1" spans="1:12" ht="12.75">
      <c r="A1" s="1" t="s">
        <v>0</v>
      </c>
      <c r="B1" s="2"/>
      <c r="D1" s="4">
        <v>2</v>
      </c>
      <c r="E1" s="4"/>
      <c r="H1" s="6"/>
      <c r="I1" s="5" t="s">
        <v>1</v>
      </c>
      <c r="J1" s="6"/>
      <c r="K1" s="7"/>
      <c r="L1" s="4">
        <v>4000</v>
      </c>
    </row>
    <row r="2" spans="1:12" ht="12.75">
      <c r="A2" s="1"/>
      <c r="B2" s="2"/>
      <c r="H2" s="6"/>
      <c r="I2" s="5" t="s">
        <v>20</v>
      </c>
      <c r="J2" s="6"/>
      <c r="K2" s="7"/>
      <c r="L2" s="4">
        <v>2000</v>
      </c>
    </row>
    <row r="3" spans="2:12" ht="12.75">
      <c r="B3" s="8"/>
      <c r="I3" s="5" t="s">
        <v>3</v>
      </c>
      <c r="L3" s="4">
        <f>L1+L2</f>
        <v>6000</v>
      </c>
    </row>
    <row r="4" spans="2:12" ht="13.5" thickBot="1">
      <c r="B4" s="8"/>
      <c r="L4" s="8"/>
    </row>
    <row r="5" spans="1:12" ht="14.25" thickBot="1" thickTop="1">
      <c r="A5" s="9" t="s">
        <v>4</v>
      </c>
      <c r="B5" s="10">
        <v>0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</row>
    <row r="6" spans="1:12" ht="13.5" thickBot="1">
      <c r="A6" s="12" t="s">
        <v>5</v>
      </c>
      <c r="B6" s="13">
        <v>500</v>
      </c>
      <c r="C6" s="13">
        <v>600</v>
      </c>
      <c r="D6" s="13">
        <v>700</v>
      </c>
      <c r="E6" s="13">
        <v>800</v>
      </c>
      <c r="F6" s="13">
        <v>900</v>
      </c>
      <c r="G6" s="13">
        <v>1000</v>
      </c>
      <c r="H6" s="13">
        <v>1100</v>
      </c>
      <c r="I6" s="13">
        <v>1200</v>
      </c>
      <c r="J6" s="13">
        <v>1300</v>
      </c>
      <c r="K6" s="13">
        <v>1400</v>
      </c>
      <c r="L6" s="13">
        <v>1500</v>
      </c>
    </row>
    <row r="7" spans="1:12" ht="12.75">
      <c r="A7" s="14" t="s">
        <v>6</v>
      </c>
      <c r="B7" s="15">
        <v>0</v>
      </c>
      <c r="C7" s="15">
        <f aca="true" t="shared" si="0" ref="C7:L7">MIN(C6,$L1)</f>
        <v>600</v>
      </c>
      <c r="D7" s="15">
        <f t="shared" si="0"/>
        <v>700</v>
      </c>
      <c r="E7" s="15">
        <f t="shared" si="0"/>
        <v>800</v>
      </c>
      <c r="F7" s="15">
        <f t="shared" si="0"/>
        <v>900</v>
      </c>
      <c r="G7" s="15">
        <f t="shared" si="0"/>
        <v>1000</v>
      </c>
      <c r="H7" s="15">
        <f t="shared" si="0"/>
        <v>1100</v>
      </c>
      <c r="I7" s="15">
        <f t="shared" si="0"/>
        <v>1200</v>
      </c>
      <c r="J7" s="15">
        <f t="shared" si="0"/>
        <v>1300</v>
      </c>
      <c r="K7" s="15">
        <f t="shared" si="0"/>
        <v>1400</v>
      </c>
      <c r="L7" s="15">
        <f t="shared" si="0"/>
        <v>1500</v>
      </c>
    </row>
    <row r="8" spans="1:12" ht="13.5" thickBot="1">
      <c r="A8" s="16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2.75">
      <c r="A9" s="17" t="s">
        <v>8</v>
      </c>
      <c r="B9" s="15">
        <f>J1-B7</f>
        <v>0</v>
      </c>
      <c r="C9" s="15">
        <f aca="true" t="shared" si="1" ref="C9:L9">$L1-C7</f>
        <v>3400</v>
      </c>
      <c r="D9" s="15">
        <f t="shared" si="1"/>
        <v>3300</v>
      </c>
      <c r="E9" s="15">
        <f t="shared" si="1"/>
        <v>3200</v>
      </c>
      <c r="F9" s="15">
        <f t="shared" si="1"/>
        <v>3100</v>
      </c>
      <c r="G9" s="15">
        <f t="shared" si="1"/>
        <v>3000</v>
      </c>
      <c r="H9" s="15">
        <f t="shared" si="1"/>
        <v>2900</v>
      </c>
      <c r="I9" s="15">
        <f t="shared" si="1"/>
        <v>2800</v>
      </c>
      <c r="J9" s="15">
        <f t="shared" si="1"/>
        <v>2700</v>
      </c>
      <c r="K9" s="15">
        <f t="shared" si="1"/>
        <v>2600</v>
      </c>
      <c r="L9" s="15">
        <f t="shared" si="1"/>
        <v>2500</v>
      </c>
    </row>
    <row r="10" spans="1:12" ht="13.5" thickBot="1">
      <c r="A10" s="12" t="s">
        <v>9</v>
      </c>
      <c r="B10" s="18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5" thickBot="1">
      <c r="A11" s="16" t="s">
        <v>10</v>
      </c>
      <c r="B11" s="13">
        <v>3000</v>
      </c>
      <c r="C11" s="13">
        <v>3400</v>
      </c>
      <c r="D11" s="13">
        <v>3800</v>
      </c>
      <c r="E11" s="13">
        <v>4200</v>
      </c>
      <c r="F11" s="13">
        <v>4600</v>
      </c>
      <c r="G11" s="13">
        <v>5000</v>
      </c>
      <c r="H11" s="13">
        <v>5400</v>
      </c>
      <c r="I11" s="13">
        <v>5800</v>
      </c>
      <c r="J11" s="13">
        <v>6200</v>
      </c>
      <c r="K11" s="13">
        <v>6600</v>
      </c>
      <c r="L11" s="13">
        <v>7000</v>
      </c>
    </row>
    <row r="12" spans="1:12" ht="12.75">
      <c r="A12" s="17" t="s">
        <v>11</v>
      </c>
      <c r="B12" s="15">
        <v>0</v>
      </c>
      <c r="C12" s="15">
        <f aca="true" t="shared" si="2" ref="C12:L12">MIN(C11,C9)</f>
        <v>3400</v>
      </c>
      <c r="D12" s="15">
        <f t="shared" si="2"/>
        <v>3300</v>
      </c>
      <c r="E12" s="15">
        <f t="shared" si="2"/>
        <v>3200</v>
      </c>
      <c r="F12" s="15">
        <f t="shared" si="2"/>
        <v>3100</v>
      </c>
      <c r="G12" s="15">
        <f t="shared" si="2"/>
        <v>3000</v>
      </c>
      <c r="H12" s="15">
        <f t="shared" si="2"/>
        <v>2900</v>
      </c>
      <c r="I12" s="15">
        <f t="shared" si="2"/>
        <v>2800</v>
      </c>
      <c r="J12" s="15">
        <f t="shared" si="2"/>
        <v>2700</v>
      </c>
      <c r="K12" s="15">
        <f t="shared" si="2"/>
        <v>2600</v>
      </c>
      <c r="L12" s="15">
        <f t="shared" si="2"/>
        <v>2500</v>
      </c>
    </row>
    <row r="13" spans="1:12" ht="13.5" thickBot="1">
      <c r="A13" s="12" t="s">
        <v>12</v>
      </c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.75">
      <c r="A14" s="17" t="s">
        <v>13</v>
      </c>
      <c r="B14" s="15">
        <f aca="true" t="shared" si="3" ref="B14:L14">B11-B12</f>
        <v>3000</v>
      </c>
      <c r="C14" s="15">
        <f t="shared" si="3"/>
        <v>0</v>
      </c>
      <c r="D14" s="15">
        <f t="shared" si="3"/>
        <v>500</v>
      </c>
      <c r="E14" s="15">
        <f t="shared" si="3"/>
        <v>1000</v>
      </c>
      <c r="F14" s="15">
        <f t="shared" si="3"/>
        <v>1500</v>
      </c>
      <c r="G14" s="15">
        <f t="shared" si="3"/>
        <v>2000</v>
      </c>
      <c r="H14" s="15">
        <f t="shared" si="3"/>
        <v>2500</v>
      </c>
      <c r="I14" s="15">
        <f t="shared" si="3"/>
        <v>3000</v>
      </c>
      <c r="J14" s="15">
        <f t="shared" si="3"/>
        <v>3500</v>
      </c>
      <c r="K14" s="15">
        <f t="shared" si="3"/>
        <v>4000</v>
      </c>
      <c r="L14" s="15">
        <f t="shared" si="3"/>
        <v>4500</v>
      </c>
    </row>
    <row r="15" spans="1:12" ht="13.5" thickBot="1">
      <c r="A15" s="12" t="s">
        <v>14</v>
      </c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7" t="s">
        <v>15</v>
      </c>
      <c r="B16" s="15">
        <v>3000</v>
      </c>
      <c r="C16" s="15">
        <v>0</v>
      </c>
      <c r="D16" s="15">
        <v>0</v>
      </c>
      <c r="E16" s="15">
        <v>1000</v>
      </c>
      <c r="F16" s="15">
        <v>1000</v>
      </c>
      <c r="G16" s="15">
        <v>2000</v>
      </c>
      <c r="H16" s="15">
        <v>2000</v>
      </c>
      <c r="I16" s="15">
        <v>2000</v>
      </c>
      <c r="J16" s="15">
        <v>2000</v>
      </c>
      <c r="K16" s="15">
        <v>2000</v>
      </c>
      <c r="L16" s="15">
        <v>2000</v>
      </c>
    </row>
    <row r="17" spans="1:12" ht="13.5" thickBot="1">
      <c r="A17" s="12" t="s">
        <v>16</v>
      </c>
      <c r="B17" s="18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4" t="s">
        <v>17</v>
      </c>
      <c r="B18" s="19">
        <f aca="true" t="shared" si="4" ref="B18:L18">B14-B16</f>
        <v>0</v>
      </c>
      <c r="C18" s="19">
        <f t="shared" si="4"/>
        <v>0</v>
      </c>
      <c r="D18" s="19">
        <f t="shared" si="4"/>
        <v>500</v>
      </c>
      <c r="E18" s="19">
        <f t="shared" si="4"/>
        <v>0</v>
      </c>
      <c r="F18" s="19">
        <f t="shared" si="4"/>
        <v>500</v>
      </c>
      <c r="G18" s="19">
        <f t="shared" si="4"/>
        <v>0</v>
      </c>
      <c r="H18" s="19">
        <f t="shared" si="4"/>
        <v>500</v>
      </c>
      <c r="I18" s="19">
        <f t="shared" si="4"/>
        <v>1000</v>
      </c>
      <c r="J18" s="19">
        <f t="shared" si="4"/>
        <v>1500</v>
      </c>
      <c r="K18" s="19">
        <f t="shared" si="4"/>
        <v>2000</v>
      </c>
      <c r="L18" s="19">
        <f t="shared" si="4"/>
        <v>2500</v>
      </c>
    </row>
    <row r="19" spans="1:12" ht="13.5" thickBot="1">
      <c r="A19" s="20" t="s">
        <v>18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2:12" ht="13.5" thickTop="1">
      <c r="B20" s="8"/>
      <c r="L20" s="8"/>
    </row>
    <row r="21" spans="1:12" ht="15.75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2:12" ht="13.5" thickBot="1">
      <c r="B22" s="8"/>
      <c r="L22" s="8"/>
    </row>
    <row r="23" spans="1:12" ht="14.25" thickBot="1" thickTop="1">
      <c r="A23" s="53" t="s">
        <v>81</v>
      </c>
      <c r="B23" s="75">
        <v>0</v>
      </c>
      <c r="C23" s="66">
        <v>1</v>
      </c>
      <c r="D23" s="66">
        <v>2</v>
      </c>
      <c r="E23" s="66">
        <v>3</v>
      </c>
      <c r="F23" s="66">
        <v>4</v>
      </c>
      <c r="G23" s="66">
        <v>5</v>
      </c>
      <c r="H23" s="66">
        <v>6</v>
      </c>
      <c r="I23" s="66">
        <v>7</v>
      </c>
      <c r="J23" s="66">
        <v>8</v>
      </c>
      <c r="K23" s="66">
        <v>9</v>
      </c>
      <c r="L23" s="66">
        <v>10</v>
      </c>
    </row>
    <row r="24" spans="1:12" ht="13.5" thickTop="1">
      <c r="A24" s="17" t="s">
        <v>52</v>
      </c>
      <c r="B24" s="71"/>
      <c r="C24" s="47">
        <f>Param!$B31*C7</f>
        <v>120000</v>
      </c>
      <c r="D24" s="47">
        <f>Param!$B31*D7</f>
        <v>140000</v>
      </c>
      <c r="E24" s="47">
        <f>Param!$B31*E7</f>
        <v>160000</v>
      </c>
      <c r="F24" s="47">
        <f>Param!$B31*F7</f>
        <v>180000</v>
      </c>
      <c r="G24" s="47">
        <f>Param!$B31*G7</f>
        <v>200000</v>
      </c>
      <c r="H24" s="47">
        <f>Param!$B31*H7</f>
        <v>220000</v>
      </c>
      <c r="I24" s="47">
        <f>Param!$B31*I7</f>
        <v>240000</v>
      </c>
      <c r="J24" s="47">
        <f>Param!$B31*J7</f>
        <v>260000</v>
      </c>
      <c r="K24" s="47">
        <f>Param!$B31*K7</f>
        <v>280000</v>
      </c>
      <c r="L24" s="47">
        <f>Param!$B31*L7</f>
        <v>300000</v>
      </c>
    </row>
    <row r="25" spans="1:12" ht="12.75">
      <c r="A25" s="17" t="s">
        <v>53</v>
      </c>
      <c r="B25" s="71"/>
      <c r="C25" s="47">
        <f>Param!$C31*C11</f>
        <v>340000</v>
      </c>
      <c r="D25" s="47">
        <f>Param!$C31*D11</f>
        <v>380000</v>
      </c>
      <c r="E25" s="47">
        <f>Param!$C31*E11</f>
        <v>420000</v>
      </c>
      <c r="F25" s="47">
        <f>Param!$C31*F11</f>
        <v>460000</v>
      </c>
      <c r="G25" s="47">
        <f>Param!$C31*G11</f>
        <v>500000</v>
      </c>
      <c r="H25" s="47">
        <f>Param!$C31*H11</f>
        <v>540000</v>
      </c>
      <c r="I25" s="47">
        <f>Param!$C31*I11</f>
        <v>580000</v>
      </c>
      <c r="J25" s="47">
        <f>Param!$C31*J11</f>
        <v>620000</v>
      </c>
      <c r="K25" s="47">
        <f>Param!$C31*K11</f>
        <v>660000</v>
      </c>
      <c r="L25" s="47">
        <f>Param!$C31*L11</f>
        <v>700000</v>
      </c>
    </row>
    <row r="26" spans="1:12" s="31" customFormat="1" ht="12.75">
      <c r="A26" s="62" t="s">
        <v>54</v>
      </c>
      <c r="B26" s="72"/>
      <c r="C26" s="63">
        <f>SUM(C24:C25)</f>
        <v>460000</v>
      </c>
      <c r="D26" s="63">
        <f aca="true" t="shared" si="5" ref="D26:L26">SUM(D24:D25)</f>
        <v>520000</v>
      </c>
      <c r="E26" s="63">
        <f t="shared" si="5"/>
        <v>580000</v>
      </c>
      <c r="F26" s="63">
        <f t="shared" si="5"/>
        <v>640000</v>
      </c>
      <c r="G26" s="63">
        <f t="shared" si="5"/>
        <v>700000</v>
      </c>
      <c r="H26" s="63">
        <f t="shared" si="5"/>
        <v>760000</v>
      </c>
      <c r="I26" s="63">
        <f t="shared" si="5"/>
        <v>820000</v>
      </c>
      <c r="J26" s="63">
        <f t="shared" si="5"/>
        <v>880000</v>
      </c>
      <c r="K26" s="63">
        <f t="shared" si="5"/>
        <v>940000</v>
      </c>
      <c r="L26" s="63">
        <f t="shared" si="5"/>
        <v>1000000</v>
      </c>
    </row>
    <row r="27" spans="1:12" ht="12.75">
      <c r="A27" s="17" t="s">
        <v>39</v>
      </c>
      <c r="B27" s="71"/>
      <c r="C27" s="47">
        <f>Param!$B35*C7</f>
        <v>30000</v>
      </c>
      <c r="D27" s="47">
        <f>Param!$B35*D7</f>
        <v>35000</v>
      </c>
      <c r="E27" s="47">
        <f>Param!$B35*E7</f>
        <v>40000</v>
      </c>
      <c r="F27" s="47">
        <f>Param!$B35*F7</f>
        <v>45000</v>
      </c>
      <c r="G27" s="47">
        <f>Param!$B35*G7</f>
        <v>50000</v>
      </c>
      <c r="H27" s="47">
        <f>Param!$B35*H7</f>
        <v>55000</v>
      </c>
      <c r="I27" s="47">
        <f>Param!$B35*I7</f>
        <v>60000</v>
      </c>
      <c r="J27" s="47">
        <f>Param!$B35*J7</f>
        <v>65000</v>
      </c>
      <c r="K27" s="47">
        <f>Param!$B35*K7</f>
        <v>70000</v>
      </c>
      <c r="L27" s="47">
        <f>Param!$B35*L7</f>
        <v>75000</v>
      </c>
    </row>
    <row r="28" spans="1:12" ht="12.75">
      <c r="A28" s="17" t="s">
        <v>40</v>
      </c>
      <c r="B28" s="71"/>
      <c r="C28" s="47">
        <f>Param!$C35*C12</f>
        <v>142800</v>
      </c>
      <c r="D28" s="47">
        <f>Param!$C35*D12</f>
        <v>138600</v>
      </c>
      <c r="E28" s="47">
        <f>Param!$C35*E12</f>
        <v>134400</v>
      </c>
      <c r="F28" s="47">
        <f>Param!$C35*F12</f>
        <v>130200</v>
      </c>
      <c r="G28" s="47">
        <f>Param!$C35*G12</f>
        <v>126000</v>
      </c>
      <c r="H28" s="47">
        <f>Param!$C35*H12</f>
        <v>121800</v>
      </c>
      <c r="I28" s="47">
        <f>Param!$C35*I12</f>
        <v>117600</v>
      </c>
      <c r="J28" s="47">
        <f>Param!$C35*J12</f>
        <v>113400</v>
      </c>
      <c r="K28" s="47">
        <f>Param!$C35*K12</f>
        <v>109200</v>
      </c>
      <c r="L28" s="47">
        <f>Param!$C35*L12</f>
        <v>105000</v>
      </c>
    </row>
    <row r="29" spans="1:12" ht="12.75">
      <c r="A29" s="17" t="s">
        <v>41</v>
      </c>
      <c r="B29" s="71"/>
      <c r="C29" s="47">
        <f>Param!$D35*C16</f>
        <v>0</v>
      </c>
      <c r="D29" s="47">
        <f>Param!$D35*D16</f>
        <v>0</v>
      </c>
      <c r="E29" s="47">
        <f>Param!$D35*E16</f>
        <v>80000</v>
      </c>
      <c r="F29" s="47">
        <f>Param!$D35*F16</f>
        <v>80000</v>
      </c>
      <c r="G29" s="47">
        <f>Param!$D35*G16</f>
        <v>160000</v>
      </c>
      <c r="H29" s="47">
        <f>Param!$D35*H16</f>
        <v>160000</v>
      </c>
      <c r="I29" s="47">
        <f>Param!$D35*I16</f>
        <v>160000</v>
      </c>
      <c r="J29" s="47">
        <f>Param!$D35*J16</f>
        <v>160000</v>
      </c>
      <c r="K29" s="47">
        <f>Param!$D35*K16</f>
        <v>160000</v>
      </c>
      <c r="L29" s="47">
        <f>Param!$D35*L16</f>
        <v>160000</v>
      </c>
    </row>
    <row r="30" spans="1:12" ht="12.75">
      <c r="A30" s="17" t="s">
        <v>42</v>
      </c>
      <c r="B30" s="71"/>
      <c r="C30" s="47">
        <f>Param!$E35*C18</f>
        <v>0</v>
      </c>
      <c r="D30" s="47">
        <f>Param!$E35*D18</f>
        <v>45000</v>
      </c>
      <c r="E30" s="47">
        <f>Param!$E35*E18</f>
        <v>0</v>
      </c>
      <c r="F30" s="47">
        <f>Param!$E35*F18</f>
        <v>45000</v>
      </c>
      <c r="G30" s="47">
        <f>Param!$E35*G18</f>
        <v>0</v>
      </c>
      <c r="H30" s="47">
        <f>Param!$E35*H18</f>
        <v>45000</v>
      </c>
      <c r="I30" s="47">
        <f>Param!$E35*I18</f>
        <v>90000</v>
      </c>
      <c r="J30" s="47">
        <f>Param!$E35*J18</f>
        <v>135000</v>
      </c>
      <c r="K30" s="47">
        <f>Param!$E35*K18</f>
        <v>180000</v>
      </c>
      <c r="L30" s="47">
        <f>Param!$E35*L18</f>
        <v>225000</v>
      </c>
    </row>
    <row r="31" spans="1:12" ht="12.75">
      <c r="A31" s="17" t="s">
        <v>43</v>
      </c>
      <c r="B31" s="71"/>
      <c r="C31" s="47">
        <f>SUM(C27:C30)</f>
        <v>172800</v>
      </c>
      <c r="D31" s="47">
        <f aca="true" t="shared" si="6" ref="D31:L31">SUM(D27:D30)</f>
        <v>218600</v>
      </c>
      <c r="E31" s="47">
        <f t="shared" si="6"/>
        <v>254400</v>
      </c>
      <c r="F31" s="47">
        <f t="shared" si="6"/>
        <v>300200</v>
      </c>
      <c r="G31" s="47">
        <f t="shared" si="6"/>
        <v>336000</v>
      </c>
      <c r="H31" s="47">
        <f t="shared" si="6"/>
        <v>381800</v>
      </c>
      <c r="I31" s="47">
        <f t="shared" si="6"/>
        <v>427600</v>
      </c>
      <c r="J31" s="47">
        <f t="shared" si="6"/>
        <v>473400</v>
      </c>
      <c r="K31" s="47">
        <f t="shared" si="6"/>
        <v>519200</v>
      </c>
      <c r="L31" s="47">
        <f t="shared" si="6"/>
        <v>565000</v>
      </c>
    </row>
    <row r="32" spans="1:12" ht="12.75">
      <c r="A32" s="62" t="s">
        <v>44</v>
      </c>
      <c r="B32" s="72"/>
      <c r="C32" s="63">
        <f>C26-C31</f>
        <v>287200</v>
      </c>
      <c r="D32" s="63">
        <f aca="true" t="shared" si="7" ref="D32:L32">D26-D31</f>
        <v>301400</v>
      </c>
      <c r="E32" s="63">
        <f t="shared" si="7"/>
        <v>325600</v>
      </c>
      <c r="F32" s="63">
        <f t="shared" si="7"/>
        <v>339800</v>
      </c>
      <c r="G32" s="63">
        <f t="shared" si="7"/>
        <v>364000</v>
      </c>
      <c r="H32" s="63">
        <f t="shared" si="7"/>
        <v>378200</v>
      </c>
      <c r="I32" s="63">
        <f t="shared" si="7"/>
        <v>392400</v>
      </c>
      <c r="J32" s="63">
        <f t="shared" si="7"/>
        <v>406600</v>
      </c>
      <c r="K32" s="63">
        <f t="shared" si="7"/>
        <v>420800</v>
      </c>
      <c r="L32" s="63">
        <f t="shared" si="7"/>
        <v>435000</v>
      </c>
    </row>
    <row r="33" spans="1:12" ht="12.75">
      <c r="A33" s="17" t="s">
        <v>45</v>
      </c>
      <c r="B33" s="71"/>
      <c r="C33" s="46">
        <f>IF(C23&lt;=Param!$B15,Param!$B17,0)</f>
        <v>185209.1705685619</v>
      </c>
      <c r="D33" s="46">
        <f>IF(D23&lt;=Param!$B15,Param!$B17,0)</f>
        <v>185209.1705685619</v>
      </c>
      <c r="E33" s="46">
        <f>IF(E23&lt;=Param!$B15,Param!$B17,0)</f>
        <v>185209.1705685619</v>
      </c>
      <c r="F33" s="46">
        <f>IF(F23&lt;=Param!$B15,Param!$B17,0)</f>
        <v>185209.1705685619</v>
      </c>
      <c r="G33" s="46">
        <f>IF(G23&lt;=Param!$B15,Param!$B17,0)</f>
        <v>185209.1705685619</v>
      </c>
      <c r="H33" s="46">
        <f>IF(H23&lt;=Param!$B15,Param!$B17,0)</f>
        <v>0</v>
      </c>
      <c r="I33" s="46">
        <f>IF(I23&lt;=Param!$B15,Param!$B17,0)</f>
        <v>0</v>
      </c>
      <c r="J33" s="46">
        <f>IF(J23&lt;=Param!$B15,Param!$B17,0)</f>
        <v>0</v>
      </c>
      <c r="K33" s="46">
        <f>IF(K23&lt;=Param!$B15,Param!$B17,0)</f>
        <v>0</v>
      </c>
      <c r="L33" s="46">
        <f>IF(L23&lt;=Param!$B15,Param!$B17,0)</f>
        <v>0</v>
      </c>
    </row>
    <row r="34" spans="1:12" ht="12.75">
      <c r="A34" s="17" t="s">
        <v>46</v>
      </c>
      <c r="B34" s="71"/>
      <c r="C34" s="47">
        <f>IF(C23&lt;=Param!$D15,Param!$D17,0)</f>
        <v>0</v>
      </c>
      <c r="D34" s="47">
        <f>IF(D23&lt;=Param!$D15,Param!$D17,0)</f>
        <v>0</v>
      </c>
      <c r="E34" s="47">
        <f>IF(E23&lt;=Param!$D15,Param!$D17,0)</f>
        <v>0</v>
      </c>
      <c r="F34" s="47">
        <f>IF(F23&lt;=Param!$D15,Param!$D17,0)</f>
        <v>0</v>
      </c>
      <c r="G34" s="47">
        <f>IF(G23&lt;=Param!$D15,Param!$D17,0)</f>
        <v>0</v>
      </c>
      <c r="H34" s="47">
        <f>IF(H23&lt;=Param!$D15,Param!$D17,0)</f>
        <v>0</v>
      </c>
      <c r="I34" s="47">
        <f>IF(I23&lt;=Param!$D15,Param!$D17,0)</f>
        <v>0</v>
      </c>
      <c r="J34" s="47">
        <f>IF(J23&lt;=Param!$D15,Param!$D17,0)</f>
        <v>0</v>
      </c>
      <c r="K34" s="47">
        <f>IF(K23&lt;=Param!$D15,Param!$D17,0)</f>
        <v>0</v>
      </c>
      <c r="L34" s="47">
        <f>IF(L23&lt;=Param!$D15,Param!$D17,0)</f>
        <v>0</v>
      </c>
    </row>
    <row r="35" spans="1:12" ht="12.75">
      <c r="A35" s="62" t="s">
        <v>47</v>
      </c>
      <c r="B35" s="72"/>
      <c r="C35" s="63">
        <f>C32-(C33+C34)</f>
        <v>101990.82943143809</v>
      </c>
      <c r="D35" s="63">
        <f aca="true" t="shared" si="8" ref="D35:L35">D32-(D33+D34)</f>
        <v>116190.82943143809</v>
      </c>
      <c r="E35" s="63">
        <f t="shared" si="8"/>
        <v>140390.8294314381</v>
      </c>
      <c r="F35" s="63">
        <f t="shared" si="8"/>
        <v>154590.8294314381</v>
      </c>
      <c r="G35" s="63">
        <f t="shared" si="8"/>
        <v>178790.8294314381</v>
      </c>
      <c r="H35" s="63">
        <f t="shared" si="8"/>
        <v>378200</v>
      </c>
      <c r="I35" s="63">
        <f t="shared" si="8"/>
        <v>392400</v>
      </c>
      <c r="J35" s="63">
        <f t="shared" si="8"/>
        <v>406600</v>
      </c>
      <c r="K35" s="63">
        <f t="shared" si="8"/>
        <v>420800</v>
      </c>
      <c r="L35" s="63">
        <f t="shared" si="8"/>
        <v>435000</v>
      </c>
    </row>
    <row r="36" spans="1:12" ht="12.75">
      <c r="A36" s="17" t="s">
        <v>48</v>
      </c>
      <c r="B36" s="71"/>
      <c r="C36" s="47">
        <f>Param!$B3*C35</f>
        <v>33996.94314381269</v>
      </c>
      <c r="D36" s="47">
        <f>Param!$B3*D35</f>
        <v>38730.27647714603</v>
      </c>
      <c r="E36" s="47">
        <f>Param!$B3*E35</f>
        <v>46796.94314381269</v>
      </c>
      <c r="F36" s="47">
        <f>Param!$B3*F35</f>
        <v>51530.27647714603</v>
      </c>
      <c r="G36" s="47">
        <f>Param!$B3*G35</f>
        <v>59596.94314381269</v>
      </c>
      <c r="H36" s="47">
        <f>Param!$B3*H35</f>
        <v>126066.66666666666</v>
      </c>
      <c r="I36" s="47">
        <f>Param!$B3*I35</f>
        <v>130800</v>
      </c>
      <c r="J36" s="47">
        <f>Param!$B3*J35</f>
        <v>135533.3333333333</v>
      </c>
      <c r="K36" s="47">
        <f>Param!$B3*K35</f>
        <v>140266.66666666666</v>
      </c>
      <c r="L36" s="47">
        <f>Param!$B3*L35</f>
        <v>145000</v>
      </c>
    </row>
    <row r="37" spans="1:12" ht="12.75">
      <c r="A37" s="62" t="s">
        <v>49</v>
      </c>
      <c r="B37" s="72"/>
      <c r="C37" s="63">
        <f>C35-C36</f>
        <v>67993.8862876254</v>
      </c>
      <c r="D37" s="63">
        <f aca="true" t="shared" si="9" ref="D37:L37">D35-D36</f>
        <v>77460.55295429207</v>
      </c>
      <c r="E37" s="63">
        <f t="shared" si="9"/>
        <v>93593.8862876254</v>
      </c>
      <c r="F37" s="63">
        <f t="shared" si="9"/>
        <v>103060.55295429207</v>
      </c>
      <c r="G37" s="63">
        <f t="shared" si="9"/>
        <v>119193.8862876254</v>
      </c>
      <c r="H37" s="63">
        <f t="shared" si="9"/>
        <v>252133.33333333334</v>
      </c>
      <c r="I37" s="63">
        <f t="shared" si="9"/>
        <v>261600</v>
      </c>
      <c r="J37" s="63">
        <f t="shared" si="9"/>
        <v>271066.6666666667</v>
      </c>
      <c r="K37" s="63">
        <f t="shared" si="9"/>
        <v>280533.3333333334</v>
      </c>
      <c r="L37" s="63">
        <f t="shared" si="9"/>
        <v>290000</v>
      </c>
    </row>
    <row r="38" spans="1:12" ht="12.75">
      <c r="A38" s="17" t="s">
        <v>45</v>
      </c>
      <c r="B38" s="71"/>
      <c r="C38" s="47">
        <f>C33</f>
        <v>185209.1705685619</v>
      </c>
      <c r="D38" s="47">
        <f aca="true" t="shared" si="10" ref="D38:L39">D33</f>
        <v>185209.1705685619</v>
      </c>
      <c r="E38" s="47">
        <f t="shared" si="10"/>
        <v>185209.1705685619</v>
      </c>
      <c r="F38" s="47">
        <f t="shared" si="10"/>
        <v>185209.1705685619</v>
      </c>
      <c r="G38" s="47">
        <f t="shared" si="10"/>
        <v>185209.1705685619</v>
      </c>
      <c r="H38" s="47">
        <f t="shared" si="10"/>
        <v>0</v>
      </c>
      <c r="I38" s="47">
        <f t="shared" si="10"/>
        <v>0</v>
      </c>
      <c r="J38" s="47">
        <f t="shared" si="10"/>
        <v>0</v>
      </c>
      <c r="K38" s="47">
        <f t="shared" si="10"/>
        <v>0</v>
      </c>
      <c r="L38" s="47">
        <f t="shared" si="10"/>
        <v>0</v>
      </c>
    </row>
    <row r="39" spans="1:12" ht="13.5" thickBot="1">
      <c r="A39" s="17" t="s">
        <v>46</v>
      </c>
      <c r="B39" s="71"/>
      <c r="C39" s="47">
        <f>C34</f>
        <v>0</v>
      </c>
      <c r="D39" s="47">
        <f t="shared" si="10"/>
        <v>0</v>
      </c>
      <c r="E39" s="47">
        <f t="shared" si="10"/>
        <v>0</v>
      </c>
      <c r="F39" s="47">
        <f t="shared" si="10"/>
        <v>0</v>
      </c>
      <c r="G39" s="47">
        <f t="shared" si="10"/>
        <v>0</v>
      </c>
      <c r="H39" s="47">
        <f t="shared" si="10"/>
        <v>0</v>
      </c>
      <c r="I39" s="47">
        <f t="shared" si="10"/>
        <v>0</v>
      </c>
      <c r="J39" s="47">
        <f t="shared" si="10"/>
        <v>0</v>
      </c>
      <c r="K39" s="47">
        <f t="shared" si="10"/>
        <v>0</v>
      </c>
      <c r="L39" s="47">
        <f t="shared" si="10"/>
        <v>0</v>
      </c>
    </row>
    <row r="40" spans="1:12" ht="14.25" thickBot="1" thickTop="1">
      <c r="A40" s="53" t="s">
        <v>50</v>
      </c>
      <c r="B40" s="70">
        <v>0</v>
      </c>
      <c r="C40" s="67">
        <f>C37+C38+C39</f>
        <v>253203.0568561873</v>
      </c>
      <c r="D40" s="67">
        <f aca="true" t="shared" si="11" ref="D40:L40">D37+D38+D39</f>
        <v>262669.723522854</v>
      </c>
      <c r="E40" s="67">
        <f t="shared" si="11"/>
        <v>278803.0568561873</v>
      </c>
      <c r="F40" s="67">
        <f t="shared" si="11"/>
        <v>288269.723522854</v>
      </c>
      <c r="G40" s="67">
        <f t="shared" si="11"/>
        <v>304403.0568561873</v>
      </c>
      <c r="H40" s="67">
        <f t="shared" si="11"/>
        <v>252133.33333333334</v>
      </c>
      <c r="I40" s="67">
        <f t="shared" si="11"/>
        <v>261600</v>
      </c>
      <c r="J40" s="67">
        <f t="shared" si="11"/>
        <v>271066.6666666667</v>
      </c>
      <c r="K40" s="67">
        <f t="shared" si="11"/>
        <v>280533.3333333334</v>
      </c>
      <c r="L40" s="67">
        <f t="shared" si="11"/>
        <v>290000</v>
      </c>
    </row>
    <row r="41" ht="14.25" thickBot="1" thickTop="1"/>
    <row r="42" spans="1:12" ht="14.25" thickBot="1" thickTop="1">
      <c r="A42" s="53" t="s">
        <v>80</v>
      </c>
      <c r="B42" s="75">
        <f>B23</f>
        <v>0</v>
      </c>
      <c r="C42" s="66">
        <f>C23</f>
        <v>1</v>
      </c>
      <c r="D42" s="66">
        <f aca="true" t="shared" si="12" ref="D42:L42">D23</f>
        <v>2</v>
      </c>
      <c r="E42" s="66">
        <f t="shared" si="12"/>
        <v>3</v>
      </c>
      <c r="F42" s="66">
        <f t="shared" si="12"/>
        <v>4</v>
      </c>
      <c r="G42" s="66">
        <f t="shared" si="12"/>
        <v>5</v>
      </c>
      <c r="H42" s="66">
        <f t="shared" si="12"/>
        <v>6</v>
      </c>
      <c r="I42" s="66">
        <f t="shared" si="12"/>
        <v>7</v>
      </c>
      <c r="J42" s="66">
        <f t="shared" si="12"/>
        <v>8</v>
      </c>
      <c r="K42" s="66">
        <f t="shared" si="12"/>
        <v>9</v>
      </c>
      <c r="L42" s="66">
        <f t="shared" si="12"/>
        <v>10</v>
      </c>
    </row>
    <row r="43" spans="1:12" ht="13.5" thickTop="1">
      <c r="A43" s="17" t="s">
        <v>52</v>
      </c>
      <c r="B43" s="71"/>
      <c r="C43" s="46">
        <f>Param!$B31*$B7</f>
        <v>0</v>
      </c>
      <c r="D43" s="46">
        <f>Param!$B31*$B7</f>
        <v>0</v>
      </c>
      <c r="E43" s="46">
        <f>Param!$B31*$B7</f>
        <v>0</v>
      </c>
      <c r="F43" s="46">
        <f>Param!$B31*$B7</f>
        <v>0</v>
      </c>
      <c r="G43" s="46">
        <f>Param!$B31*$B7</f>
        <v>0</v>
      </c>
      <c r="H43" s="46">
        <f>Param!$B31*$B7</f>
        <v>0</v>
      </c>
      <c r="I43" s="46">
        <f>Param!$B31*$B7</f>
        <v>0</v>
      </c>
      <c r="J43" s="46">
        <f>Param!$B31*$B7</f>
        <v>0</v>
      </c>
      <c r="K43" s="46">
        <f>Param!$B31*$B7</f>
        <v>0</v>
      </c>
      <c r="L43" s="46">
        <f>Param!$B31*$B7</f>
        <v>0</v>
      </c>
    </row>
    <row r="44" spans="1:12" ht="12.75">
      <c r="A44" s="17" t="s">
        <v>53</v>
      </c>
      <c r="B44" s="71"/>
      <c r="C44" s="47">
        <f>Param!$C31*C11</f>
        <v>340000</v>
      </c>
      <c r="D44" s="47">
        <f>Param!$C31*D11</f>
        <v>380000</v>
      </c>
      <c r="E44" s="47">
        <f>Param!$C31*E11</f>
        <v>420000</v>
      </c>
      <c r="F44" s="47">
        <f>Param!$C31*F11</f>
        <v>460000</v>
      </c>
      <c r="G44" s="47">
        <f>Param!$C31*G11</f>
        <v>500000</v>
      </c>
      <c r="H44" s="47">
        <f>Param!$C31*H11</f>
        <v>540000</v>
      </c>
      <c r="I44" s="47">
        <f>Param!$C31*I11</f>
        <v>580000</v>
      </c>
      <c r="J44" s="47">
        <f>Param!$C31*J11</f>
        <v>620000</v>
      </c>
      <c r="K44" s="47">
        <f>Param!$C31*K11</f>
        <v>660000</v>
      </c>
      <c r="L44" s="47">
        <f>Param!$C31*L11</f>
        <v>700000</v>
      </c>
    </row>
    <row r="45" spans="1:12" ht="12.75">
      <c r="A45" s="62" t="s">
        <v>54</v>
      </c>
      <c r="B45" s="72"/>
      <c r="C45" s="63">
        <f>SUM(C43:C44)</f>
        <v>340000</v>
      </c>
      <c r="D45" s="63">
        <f aca="true" t="shared" si="13" ref="D45:L45">SUM(D43:D44)</f>
        <v>380000</v>
      </c>
      <c r="E45" s="63">
        <f t="shared" si="13"/>
        <v>420000</v>
      </c>
      <c r="F45" s="63">
        <f t="shared" si="13"/>
        <v>460000</v>
      </c>
      <c r="G45" s="63">
        <f t="shared" si="13"/>
        <v>500000</v>
      </c>
      <c r="H45" s="63">
        <f t="shared" si="13"/>
        <v>540000</v>
      </c>
      <c r="I45" s="63">
        <f t="shared" si="13"/>
        <v>580000</v>
      </c>
      <c r="J45" s="63">
        <f t="shared" si="13"/>
        <v>620000</v>
      </c>
      <c r="K45" s="63">
        <f t="shared" si="13"/>
        <v>660000</v>
      </c>
      <c r="L45" s="63">
        <f t="shared" si="13"/>
        <v>700000</v>
      </c>
    </row>
    <row r="46" spans="1:12" ht="12.75">
      <c r="A46" s="17" t="s">
        <v>39</v>
      </c>
      <c r="B46" s="71"/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</row>
    <row r="47" spans="1:12" ht="12.75">
      <c r="A47" s="17" t="s">
        <v>40</v>
      </c>
      <c r="B47" s="71"/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</row>
    <row r="48" spans="1:12" ht="12.75">
      <c r="A48" s="17" t="s">
        <v>41</v>
      </c>
      <c r="B48" s="71"/>
      <c r="C48" s="47">
        <f>Param!$D35*$B16</f>
        <v>240000</v>
      </c>
      <c r="D48" s="47">
        <f>Param!$D35*$B16</f>
        <v>240000</v>
      </c>
      <c r="E48" s="47">
        <f>Param!$D35*$B16</f>
        <v>240000</v>
      </c>
      <c r="F48" s="47">
        <f>Param!$D35*$B16</f>
        <v>240000</v>
      </c>
      <c r="G48" s="47">
        <f>Param!$D35*$B16</f>
        <v>240000</v>
      </c>
      <c r="H48" s="47">
        <f>Param!$D35*$B16</f>
        <v>240000</v>
      </c>
      <c r="I48" s="47">
        <f>Param!$D35*$B16</f>
        <v>240000</v>
      </c>
      <c r="J48" s="47">
        <f>Param!$D35*$B16</f>
        <v>240000</v>
      </c>
      <c r="K48" s="47">
        <f>Param!$D35*$B16</f>
        <v>240000</v>
      </c>
      <c r="L48" s="47">
        <f>Param!$D35*$B16</f>
        <v>240000</v>
      </c>
    </row>
    <row r="49" spans="1:12" ht="12.75">
      <c r="A49" s="17" t="s">
        <v>42</v>
      </c>
      <c r="B49" s="71"/>
      <c r="C49" s="47">
        <f>Param!$E35*(C11-$B16)</f>
        <v>36000</v>
      </c>
      <c r="D49" s="47">
        <f>Param!$E35*(D11-$B16)</f>
        <v>72000</v>
      </c>
      <c r="E49" s="47">
        <f>Param!$E35*(E11-$B16)</f>
        <v>108000</v>
      </c>
      <c r="F49" s="47">
        <f>Param!$E35*(F11-$B16)</f>
        <v>144000</v>
      </c>
      <c r="G49" s="47">
        <f>Param!$E35*(G11-$B16)</f>
        <v>180000</v>
      </c>
      <c r="H49" s="47">
        <f>Param!$E35*(H11-$B16)</f>
        <v>216000</v>
      </c>
      <c r="I49" s="47">
        <f>Param!$E35*(I11-$B16)</f>
        <v>252000</v>
      </c>
      <c r="J49" s="47">
        <f>Param!$E35*(J11-$B16)</f>
        <v>288000</v>
      </c>
      <c r="K49" s="47">
        <f>Param!$E35*(K11-$B16)</f>
        <v>324000</v>
      </c>
      <c r="L49" s="47">
        <f>Param!$E35*(L11-$B16)</f>
        <v>360000</v>
      </c>
    </row>
    <row r="50" spans="1:12" ht="12.75">
      <c r="A50" s="17" t="s">
        <v>43</v>
      </c>
      <c r="B50" s="71"/>
      <c r="C50" s="47">
        <f>SUM(C46:C49)</f>
        <v>276000</v>
      </c>
      <c r="D50" s="47">
        <f aca="true" t="shared" si="14" ref="D50:L50">SUM(D46:D49)</f>
        <v>312000</v>
      </c>
      <c r="E50" s="47">
        <f t="shared" si="14"/>
        <v>348000</v>
      </c>
      <c r="F50" s="47">
        <f t="shared" si="14"/>
        <v>384000</v>
      </c>
      <c r="G50" s="47">
        <f t="shared" si="14"/>
        <v>420000</v>
      </c>
      <c r="H50" s="47">
        <f t="shared" si="14"/>
        <v>456000</v>
      </c>
      <c r="I50" s="47">
        <f t="shared" si="14"/>
        <v>492000</v>
      </c>
      <c r="J50" s="47">
        <f t="shared" si="14"/>
        <v>528000</v>
      </c>
      <c r="K50" s="47">
        <f t="shared" si="14"/>
        <v>564000</v>
      </c>
      <c r="L50" s="47">
        <f t="shared" si="14"/>
        <v>600000</v>
      </c>
    </row>
    <row r="51" spans="1:12" ht="12.75">
      <c r="A51" s="62" t="s">
        <v>44</v>
      </c>
      <c r="B51" s="72"/>
      <c r="C51" s="63">
        <f>C45-C50</f>
        <v>64000</v>
      </c>
      <c r="D51" s="63">
        <f aca="true" t="shared" si="15" ref="D51:L51">D45-D50</f>
        <v>68000</v>
      </c>
      <c r="E51" s="63">
        <f t="shared" si="15"/>
        <v>72000</v>
      </c>
      <c r="F51" s="63">
        <f t="shared" si="15"/>
        <v>76000</v>
      </c>
      <c r="G51" s="63">
        <f t="shared" si="15"/>
        <v>80000</v>
      </c>
      <c r="H51" s="63">
        <f t="shared" si="15"/>
        <v>84000</v>
      </c>
      <c r="I51" s="63">
        <f t="shared" si="15"/>
        <v>88000</v>
      </c>
      <c r="J51" s="63">
        <f t="shared" si="15"/>
        <v>92000</v>
      </c>
      <c r="K51" s="63">
        <f t="shared" si="15"/>
        <v>96000</v>
      </c>
      <c r="L51" s="63">
        <f t="shared" si="15"/>
        <v>100000</v>
      </c>
    </row>
    <row r="52" spans="1:12" ht="12.75">
      <c r="A52" s="17" t="s">
        <v>45</v>
      </c>
      <c r="B52" s="71"/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</row>
    <row r="53" spans="1:12" ht="12.75">
      <c r="A53" s="17" t="s">
        <v>46</v>
      </c>
      <c r="B53" s="71"/>
      <c r="C53" s="47">
        <f>IF(C23&lt;=Param!$C16,Param!$C17,0)</f>
        <v>120000</v>
      </c>
      <c r="D53" s="47">
        <f>IF(D23&lt;=Param!$C16,Param!$C17,0)</f>
        <v>0</v>
      </c>
      <c r="E53" s="47">
        <f>IF(E23&lt;=Param!$C16,Param!$C17,0)</f>
        <v>0</v>
      </c>
      <c r="F53" s="47">
        <f>IF(F23&lt;=Param!$C16,Param!$C17,0)</f>
        <v>0</v>
      </c>
      <c r="G53" s="47">
        <f>IF(G23&lt;=Param!$C16,Param!$C17,0)</f>
        <v>0</v>
      </c>
      <c r="H53" s="47">
        <f>IF(H23&lt;=Param!$C16,Param!$C17,0)</f>
        <v>0</v>
      </c>
      <c r="I53" s="47">
        <f>IF(I23&lt;=Param!$C16,Param!$C17,0)</f>
        <v>0</v>
      </c>
      <c r="J53" s="47">
        <f>IF(J23&lt;=Param!$C16,Param!$C17,0)</f>
        <v>0</v>
      </c>
      <c r="K53" s="47">
        <f>IF(K23&lt;=Param!$C16,Param!$C17,0)</f>
        <v>0</v>
      </c>
      <c r="L53" s="47">
        <f>IF(L23&lt;=Param!$C16,Param!$C17,0)</f>
        <v>0</v>
      </c>
    </row>
    <row r="54" spans="1:12" ht="12.75">
      <c r="A54" s="62" t="s">
        <v>47</v>
      </c>
      <c r="B54" s="72"/>
      <c r="C54" s="63">
        <f>C51-(C52+C53)</f>
        <v>-56000</v>
      </c>
      <c r="D54" s="63">
        <f aca="true" t="shared" si="16" ref="D54:L54">D51-(D52+D53)</f>
        <v>68000</v>
      </c>
      <c r="E54" s="63">
        <f t="shared" si="16"/>
        <v>72000</v>
      </c>
      <c r="F54" s="63">
        <f t="shared" si="16"/>
        <v>76000</v>
      </c>
      <c r="G54" s="63">
        <f t="shared" si="16"/>
        <v>80000</v>
      </c>
      <c r="H54" s="63">
        <f t="shared" si="16"/>
        <v>84000</v>
      </c>
      <c r="I54" s="63">
        <f t="shared" si="16"/>
        <v>88000</v>
      </c>
      <c r="J54" s="63">
        <f t="shared" si="16"/>
        <v>92000</v>
      </c>
      <c r="K54" s="63">
        <f t="shared" si="16"/>
        <v>96000</v>
      </c>
      <c r="L54" s="63">
        <f t="shared" si="16"/>
        <v>100000</v>
      </c>
    </row>
    <row r="55" spans="1:12" ht="12.75">
      <c r="A55" s="17" t="s">
        <v>48</v>
      </c>
      <c r="B55" s="71"/>
      <c r="C55" s="47">
        <f>Param!$B3*C54</f>
        <v>-18666.666666666664</v>
      </c>
      <c r="D55" s="47">
        <f>Param!$B3*D54</f>
        <v>22666.666666666664</v>
      </c>
      <c r="E55" s="47">
        <f>Param!$B3*E54</f>
        <v>24000</v>
      </c>
      <c r="F55" s="47">
        <f>Param!$B3*F54</f>
        <v>25333.333333333332</v>
      </c>
      <c r="G55" s="47">
        <f>Param!$B3*G54</f>
        <v>26666.666666666664</v>
      </c>
      <c r="H55" s="47">
        <f>Param!$B3*H54</f>
        <v>28000</v>
      </c>
      <c r="I55" s="47">
        <f>Param!$B3*I54</f>
        <v>29333.333333333332</v>
      </c>
      <c r="J55" s="47">
        <f>Param!$B3*J54</f>
        <v>30666.666666666664</v>
      </c>
      <c r="K55" s="47">
        <f>Param!$B3*K54</f>
        <v>32000</v>
      </c>
      <c r="L55" s="47">
        <f>Param!$B3*L54</f>
        <v>33333.33333333333</v>
      </c>
    </row>
    <row r="56" spans="1:12" ht="12.75">
      <c r="A56" s="62" t="s">
        <v>49</v>
      </c>
      <c r="B56" s="72"/>
      <c r="C56" s="63">
        <f>C54-C55</f>
        <v>-37333.333333333336</v>
      </c>
      <c r="D56" s="63">
        <f aca="true" t="shared" si="17" ref="D56:L56">D54-D55</f>
        <v>45333.333333333336</v>
      </c>
      <c r="E56" s="63">
        <f t="shared" si="17"/>
        <v>48000</v>
      </c>
      <c r="F56" s="63">
        <f t="shared" si="17"/>
        <v>50666.66666666667</v>
      </c>
      <c r="G56" s="63">
        <f t="shared" si="17"/>
        <v>53333.333333333336</v>
      </c>
      <c r="H56" s="63">
        <f t="shared" si="17"/>
        <v>56000</v>
      </c>
      <c r="I56" s="63">
        <f t="shared" si="17"/>
        <v>58666.66666666667</v>
      </c>
      <c r="J56" s="63">
        <f t="shared" si="17"/>
        <v>61333.333333333336</v>
      </c>
      <c r="K56" s="63">
        <f t="shared" si="17"/>
        <v>64000</v>
      </c>
      <c r="L56" s="63">
        <f t="shared" si="17"/>
        <v>66666.66666666667</v>
      </c>
    </row>
    <row r="57" spans="1:12" ht="12.75">
      <c r="A57" s="17" t="s">
        <v>45</v>
      </c>
      <c r="B57" s="71"/>
      <c r="C57" s="47">
        <f>C52</f>
        <v>0</v>
      </c>
      <c r="D57" s="47">
        <f aca="true" t="shared" si="18" ref="D57:L58">D52</f>
        <v>0</v>
      </c>
      <c r="E57" s="47">
        <f t="shared" si="18"/>
        <v>0</v>
      </c>
      <c r="F57" s="47">
        <f t="shared" si="18"/>
        <v>0</v>
      </c>
      <c r="G57" s="47">
        <f t="shared" si="18"/>
        <v>0</v>
      </c>
      <c r="H57" s="47">
        <f t="shared" si="18"/>
        <v>0</v>
      </c>
      <c r="I57" s="47">
        <f t="shared" si="18"/>
        <v>0</v>
      </c>
      <c r="J57" s="47">
        <f t="shared" si="18"/>
        <v>0</v>
      </c>
      <c r="K57" s="47">
        <f t="shared" si="18"/>
        <v>0</v>
      </c>
      <c r="L57" s="47">
        <f t="shared" si="18"/>
        <v>0</v>
      </c>
    </row>
    <row r="58" spans="1:12" ht="12.75">
      <c r="A58" s="17" t="s">
        <v>46</v>
      </c>
      <c r="B58" s="71"/>
      <c r="C58" s="47">
        <f>C53</f>
        <v>120000</v>
      </c>
      <c r="D58" s="47">
        <f t="shared" si="18"/>
        <v>0</v>
      </c>
      <c r="E58" s="47">
        <f t="shared" si="18"/>
        <v>0</v>
      </c>
      <c r="F58" s="47">
        <f t="shared" si="18"/>
        <v>0</v>
      </c>
      <c r="G58" s="47">
        <f t="shared" si="18"/>
        <v>0</v>
      </c>
      <c r="H58" s="47">
        <f t="shared" si="18"/>
        <v>0</v>
      </c>
      <c r="I58" s="47">
        <f t="shared" si="18"/>
        <v>0</v>
      </c>
      <c r="J58" s="47">
        <f t="shared" si="18"/>
        <v>0</v>
      </c>
      <c r="K58" s="47">
        <f t="shared" si="18"/>
        <v>0</v>
      </c>
      <c r="L58" s="47">
        <f t="shared" si="18"/>
        <v>0</v>
      </c>
    </row>
    <row r="59" spans="1:12" ht="13.5" thickBot="1">
      <c r="A59" s="64" t="s">
        <v>50</v>
      </c>
      <c r="B59" s="76">
        <v>0</v>
      </c>
      <c r="C59" s="65">
        <f>C56+C57+C58</f>
        <v>82666.66666666666</v>
      </c>
      <c r="D59" s="65">
        <f aca="true" t="shared" si="19" ref="D59:L59">D56+D57+D58</f>
        <v>45333.333333333336</v>
      </c>
      <c r="E59" s="65">
        <f t="shared" si="19"/>
        <v>48000</v>
      </c>
      <c r="F59" s="65">
        <f t="shared" si="19"/>
        <v>50666.66666666667</v>
      </c>
      <c r="G59" s="65">
        <f t="shared" si="19"/>
        <v>53333.333333333336</v>
      </c>
      <c r="H59" s="65">
        <f t="shared" si="19"/>
        <v>56000</v>
      </c>
      <c r="I59" s="65">
        <f t="shared" si="19"/>
        <v>58666.66666666667</v>
      </c>
      <c r="J59" s="65">
        <f t="shared" si="19"/>
        <v>61333.333333333336</v>
      </c>
      <c r="K59" s="65">
        <f t="shared" si="19"/>
        <v>64000</v>
      </c>
      <c r="L59" s="65">
        <f t="shared" si="19"/>
        <v>66666.66666666667</v>
      </c>
    </row>
    <row r="60" spans="1:12" ht="14.25" thickBot="1" thickTop="1">
      <c r="A60" s="68"/>
      <c r="B60" s="74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s="79" customFormat="1" ht="12" customHeight="1" thickBot="1" thickTop="1">
      <c r="A61" s="80" t="s">
        <v>89</v>
      </c>
      <c r="B61" s="77">
        <f>B23</f>
        <v>0</v>
      </c>
      <c r="C61" s="78">
        <f>C23</f>
        <v>1</v>
      </c>
      <c r="D61" s="78">
        <f aca="true" t="shared" si="20" ref="D61:L61">D23</f>
        <v>2</v>
      </c>
      <c r="E61" s="78">
        <f t="shared" si="20"/>
        <v>3</v>
      </c>
      <c r="F61" s="78">
        <f t="shared" si="20"/>
        <v>4</v>
      </c>
      <c r="G61" s="78">
        <f t="shared" si="20"/>
        <v>5</v>
      </c>
      <c r="H61" s="78">
        <f t="shared" si="20"/>
        <v>6</v>
      </c>
      <c r="I61" s="78">
        <f t="shared" si="20"/>
        <v>7</v>
      </c>
      <c r="J61" s="78">
        <f t="shared" si="20"/>
        <v>8</v>
      </c>
      <c r="K61" s="78">
        <f t="shared" si="20"/>
        <v>9</v>
      </c>
      <c r="L61" s="78">
        <f t="shared" si="20"/>
        <v>10</v>
      </c>
    </row>
    <row r="62" spans="1:12" ht="14.25" thickBot="1" thickTop="1">
      <c r="A62" s="53" t="s">
        <v>51</v>
      </c>
      <c r="B62" s="70">
        <f>B40-B59</f>
        <v>0</v>
      </c>
      <c r="C62" s="70">
        <f>C40-C59</f>
        <v>170536.39018952064</v>
      </c>
      <c r="D62" s="70">
        <f aca="true" t="shared" si="21" ref="D62:L62">D40-D59</f>
        <v>217336.39018952064</v>
      </c>
      <c r="E62" s="70">
        <f t="shared" si="21"/>
        <v>230803.0568561873</v>
      </c>
      <c r="F62" s="70">
        <f t="shared" si="21"/>
        <v>237603.0568561873</v>
      </c>
      <c r="G62" s="70">
        <f t="shared" si="21"/>
        <v>251069.72352285395</v>
      </c>
      <c r="H62" s="70">
        <f t="shared" si="21"/>
        <v>196133.33333333334</v>
      </c>
      <c r="I62" s="70">
        <f t="shared" si="21"/>
        <v>202933.3333333333</v>
      </c>
      <c r="J62" s="70">
        <f t="shared" si="21"/>
        <v>209733.33333333334</v>
      </c>
      <c r="K62" s="70">
        <f t="shared" si="21"/>
        <v>216533.33333333337</v>
      </c>
      <c r="L62" s="70">
        <f t="shared" si="21"/>
        <v>223333.3333333333</v>
      </c>
    </row>
    <row r="63" ht="14.25" thickBot="1" thickTop="1"/>
    <row r="64" spans="1:12" ht="14.25" thickBot="1" thickTop="1">
      <c r="A64" s="53" t="s">
        <v>4</v>
      </c>
      <c r="B64" s="82">
        <f>B23</f>
        <v>0</v>
      </c>
      <c r="C64" s="82">
        <f aca="true" t="shared" si="22" ref="C64:L64">C23</f>
        <v>1</v>
      </c>
      <c r="D64" s="82">
        <f t="shared" si="22"/>
        <v>2</v>
      </c>
      <c r="E64" s="82">
        <f t="shared" si="22"/>
        <v>3</v>
      </c>
      <c r="F64" s="82">
        <f t="shared" si="22"/>
        <v>4</v>
      </c>
      <c r="G64" s="82">
        <f t="shared" si="22"/>
        <v>5</v>
      </c>
      <c r="H64" s="82">
        <f t="shared" si="22"/>
        <v>6</v>
      </c>
      <c r="I64" s="82">
        <f t="shared" si="22"/>
        <v>7</v>
      </c>
      <c r="J64" s="82">
        <f t="shared" si="22"/>
        <v>8</v>
      </c>
      <c r="K64" s="82">
        <f t="shared" si="22"/>
        <v>9</v>
      </c>
      <c r="L64" s="82">
        <f t="shared" si="22"/>
        <v>10</v>
      </c>
    </row>
    <row r="65" spans="1:12" ht="14.25" thickBot="1" thickTop="1">
      <c r="A65" s="53" t="s">
        <v>82</v>
      </c>
      <c r="B65" s="67">
        <f aca="true" t="shared" si="23" ref="B65:L65">SUM(B66:B67)</f>
        <v>926045.8528428095</v>
      </c>
      <c r="C65" s="67">
        <f t="shared" si="23"/>
        <v>0</v>
      </c>
      <c r="D65" s="67">
        <f t="shared" si="23"/>
        <v>0</v>
      </c>
      <c r="E65" s="67">
        <f t="shared" si="23"/>
        <v>0</v>
      </c>
      <c r="F65" s="67">
        <f t="shared" si="23"/>
        <v>0</v>
      </c>
      <c r="G65" s="67">
        <f t="shared" si="23"/>
        <v>0</v>
      </c>
      <c r="H65" s="67">
        <f t="shared" si="23"/>
        <v>0</v>
      </c>
      <c r="I65" s="67">
        <f t="shared" si="23"/>
        <v>0</v>
      </c>
      <c r="J65" s="67">
        <f t="shared" si="23"/>
        <v>0</v>
      </c>
      <c r="K65" s="67">
        <f t="shared" si="23"/>
        <v>0</v>
      </c>
      <c r="L65" s="67">
        <f t="shared" si="23"/>
        <v>0</v>
      </c>
    </row>
    <row r="66" spans="1:12" ht="13.5" thickTop="1">
      <c r="A66" s="17" t="s">
        <v>88</v>
      </c>
      <c r="B66" s="47">
        <f>Param!B10</f>
        <v>926045.8528428095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 ht="13.5" thickBot="1">
      <c r="A67" s="17" t="s">
        <v>91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</row>
    <row r="68" spans="1:12" ht="14.25" thickBot="1" thickTop="1">
      <c r="A68" s="53" t="s">
        <v>83</v>
      </c>
      <c r="B68" s="67">
        <f>SUM(B69:B72)</f>
        <v>160000</v>
      </c>
      <c r="C68" s="67">
        <f aca="true" t="shared" si="24" ref="C68:L68">SUM(C69:C72)</f>
        <v>170536.39018952064</v>
      </c>
      <c r="D68" s="67">
        <f t="shared" si="24"/>
        <v>217336.39018952064</v>
      </c>
      <c r="E68" s="67">
        <f t="shared" si="24"/>
        <v>230803.0568561873</v>
      </c>
      <c r="F68" s="67">
        <f t="shared" si="24"/>
        <v>237603.0568561873</v>
      </c>
      <c r="G68" s="67">
        <f t="shared" si="24"/>
        <v>251069.72352285395</v>
      </c>
      <c r="H68" s="67">
        <f t="shared" si="24"/>
        <v>196133.33333333334</v>
      </c>
      <c r="I68" s="67">
        <f t="shared" si="24"/>
        <v>202933.3333333333</v>
      </c>
      <c r="J68" s="67">
        <f t="shared" si="24"/>
        <v>209733.33333333334</v>
      </c>
      <c r="K68" s="67">
        <f t="shared" si="24"/>
        <v>216533.33333333337</v>
      </c>
      <c r="L68" s="67">
        <f t="shared" si="24"/>
        <v>350806.1137123746</v>
      </c>
    </row>
    <row r="69" spans="1:12" ht="13.5" thickTop="1">
      <c r="A69" s="17" t="s">
        <v>84</v>
      </c>
      <c r="B69" s="47">
        <f>B62</f>
        <v>0</v>
      </c>
      <c r="C69" s="47">
        <f aca="true" t="shared" si="25" ref="C69:L69">C62</f>
        <v>170536.39018952064</v>
      </c>
      <c r="D69" s="47">
        <f t="shared" si="25"/>
        <v>217336.39018952064</v>
      </c>
      <c r="E69" s="47">
        <f t="shared" si="25"/>
        <v>230803.0568561873</v>
      </c>
      <c r="F69" s="47">
        <f t="shared" si="25"/>
        <v>237603.0568561873</v>
      </c>
      <c r="G69" s="47">
        <f t="shared" si="25"/>
        <v>251069.72352285395</v>
      </c>
      <c r="H69" s="47">
        <f t="shared" si="25"/>
        <v>196133.33333333334</v>
      </c>
      <c r="I69" s="47">
        <f t="shared" si="25"/>
        <v>202933.3333333333</v>
      </c>
      <c r="J69" s="47">
        <f t="shared" si="25"/>
        <v>209733.33333333334</v>
      </c>
      <c r="K69" s="47">
        <f t="shared" si="25"/>
        <v>216533.33333333337</v>
      </c>
      <c r="L69" s="47">
        <f t="shared" si="25"/>
        <v>223333.3333333333</v>
      </c>
    </row>
    <row r="70" spans="1:12" ht="12.75">
      <c r="A70" s="17" t="s">
        <v>86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>
        <f>Param!B27+Param!E27+Param!D27</f>
        <v>127472.78037904127</v>
      </c>
    </row>
    <row r="71" spans="1:12" ht="12.75">
      <c r="A71" s="17" t="s">
        <v>87</v>
      </c>
      <c r="B71" s="47">
        <f>Param!C27</f>
        <v>160000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2" ht="13.5" thickBot="1">
      <c r="A72" s="17" t="s">
        <v>85</v>
      </c>
      <c r="B72" s="37"/>
      <c r="C72" s="47"/>
      <c r="D72" s="47"/>
      <c r="E72" s="47"/>
      <c r="F72" s="47"/>
      <c r="G72" s="47"/>
      <c r="H72" s="47"/>
      <c r="I72" s="47"/>
      <c r="J72" s="47"/>
      <c r="K72" s="47"/>
      <c r="L72" s="47">
        <f>B67:L67</f>
        <v>0</v>
      </c>
    </row>
    <row r="73" spans="1:12" ht="14.25" thickBot="1" thickTop="1">
      <c r="A73" s="53" t="s">
        <v>90</v>
      </c>
      <c r="B73" s="84">
        <f aca="true" t="shared" si="26" ref="B73:L73">B68-B65</f>
        <v>-766045.8528428095</v>
      </c>
      <c r="C73" s="84">
        <f t="shared" si="26"/>
        <v>170536.39018952064</v>
      </c>
      <c r="D73" s="84">
        <f t="shared" si="26"/>
        <v>217336.39018952064</v>
      </c>
      <c r="E73" s="84">
        <f t="shared" si="26"/>
        <v>230803.0568561873</v>
      </c>
      <c r="F73" s="84">
        <f t="shared" si="26"/>
        <v>237603.0568561873</v>
      </c>
      <c r="G73" s="84">
        <f t="shared" si="26"/>
        <v>251069.72352285395</v>
      </c>
      <c r="H73" s="84">
        <f t="shared" si="26"/>
        <v>196133.33333333334</v>
      </c>
      <c r="I73" s="84">
        <f t="shared" si="26"/>
        <v>202933.3333333333</v>
      </c>
      <c r="J73" s="84">
        <f t="shared" si="26"/>
        <v>209733.33333333334</v>
      </c>
      <c r="K73" s="84">
        <f t="shared" si="26"/>
        <v>216533.33333333337</v>
      </c>
      <c r="L73" s="84">
        <f t="shared" si="26"/>
        <v>350806.1137123746</v>
      </c>
    </row>
    <row r="74" ht="13.5" thickTop="1"/>
    <row r="75" spans="1:5" ht="12.75">
      <c r="A75" s="31" t="s">
        <v>92</v>
      </c>
      <c r="B75" s="83">
        <f>Param!D3</f>
        <v>0.1</v>
      </c>
      <c r="C75" s="81"/>
      <c r="D75" s="31" t="s">
        <v>93</v>
      </c>
      <c r="E75" s="61">
        <f>NPV($B75,$C73,$D73,$E73,$F73,$G73,$H73,$I73,$J73,$K73,$L73)+$B73</f>
        <v>599963.8658462994</v>
      </c>
    </row>
    <row r="76" ht="12.75">
      <c r="B76" s="3"/>
    </row>
  </sheetData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scale="60" r:id="rId1"/>
  <headerFooter alignWithMargins="0">
    <oddHeader>&amp;CCas Fabien (Corrigé : J.F. Gueugnon)</oddHeader>
    <oddFooter>&amp;C&amp;A - Page 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workbookViewId="0" topLeftCell="A1">
      <selection activeCell="A38" sqref="A38"/>
    </sheetView>
  </sheetViews>
  <sheetFormatPr defaultColWidth="11.421875" defaultRowHeight="12.75"/>
  <cols>
    <col min="1" max="1" width="36.8515625" style="3" customWidth="1"/>
    <col min="2" max="2" width="16.8515625" style="73" customWidth="1"/>
    <col min="3" max="3" width="17.00390625" style="3" customWidth="1"/>
    <col min="4" max="12" width="16.8515625" style="3" customWidth="1"/>
    <col min="13" max="16384" width="36.8515625" style="3" customWidth="1"/>
  </cols>
  <sheetData>
    <row r="1" spans="1:12" ht="12.75">
      <c r="A1" s="1" t="s">
        <v>0</v>
      </c>
      <c r="B1" s="2"/>
      <c r="D1" s="4">
        <v>3</v>
      </c>
      <c r="E1" s="4"/>
      <c r="H1" s="6"/>
      <c r="I1" s="5" t="s">
        <v>1</v>
      </c>
      <c r="J1" s="6"/>
      <c r="K1" s="7"/>
      <c r="L1" s="4">
        <v>4000</v>
      </c>
    </row>
    <row r="2" spans="1:12" ht="12.75">
      <c r="A2" s="1"/>
      <c r="B2" s="2"/>
      <c r="H2" s="6"/>
      <c r="I2" s="5" t="s">
        <v>20</v>
      </c>
      <c r="J2" s="6"/>
      <c r="K2" s="7"/>
      <c r="L2" s="4">
        <v>3000</v>
      </c>
    </row>
    <row r="3" spans="2:12" ht="12.75">
      <c r="B3" s="8"/>
      <c r="I3" s="5" t="s">
        <v>3</v>
      </c>
      <c r="L3" s="4">
        <f>L1+L2</f>
        <v>7000</v>
      </c>
    </row>
    <row r="4" spans="2:12" ht="13.5" thickBot="1">
      <c r="B4" s="8"/>
      <c r="L4" s="8"/>
    </row>
    <row r="5" spans="1:12" ht="14.25" thickBot="1" thickTop="1">
      <c r="A5" s="9" t="s">
        <v>4</v>
      </c>
      <c r="B5" s="10">
        <v>0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</row>
    <row r="6" spans="1:12" ht="13.5" thickBot="1">
      <c r="A6" s="12" t="s">
        <v>5</v>
      </c>
      <c r="B6" s="13">
        <v>500</v>
      </c>
      <c r="C6" s="13">
        <v>600</v>
      </c>
      <c r="D6" s="13">
        <v>700</v>
      </c>
      <c r="E6" s="13">
        <v>800</v>
      </c>
      <c r="F6" s="13">
        <v>900</v>
      </c>
      <c r="G6" s="13">
        <v>1000</v>
      </c>
      <c r="H6" s="13">
        <v>1100</v>
      </c>
      <c r="I6" s="13">
        <v>1200</v>
      </c>
      <c r="J6" s="13">
        <v>1300</v>
      </c>
      <c r="K6" s="13">
        <v>1400</v>
      </c>
      <c r="L6" s="13">
        <v>1500</v>
      </c>
    </row>
    <row r="7" spans="1:12" ht="12.75">
      <c r="A7" s="14" t="s">
        <v>6</v>
      </c>
      <c r="B7" s="15">
        <v>0</v>
      </c>
      <c r="C7" s="15">
        <f aca="true" t="shared" si="0" ref="C7:L7">MIN(C6,$L1)</f>
        <v>600</v>
      </c>
      <c r="D7" s="15">
        <f t="shared" si="0"/>
        <v>700</v>
      </c>
      <c r="E7" s="15">
        <f t="shared" si="0"/>
        <v>800</v>
      </c>
      <c r="F7" s="15">
        <f t="shared" si="0"/>
        <v>900</v>
      </c>
      <c r="G7" s="15">
        <f t="shared" si="0"/>
        <v>1000</v>
      </c>
      <c r="H7" s="15">
        <f t="shared" si="0"/>
        <v>1100</v>
      </c>
      <c r="I7" s="15">
        <f t="shared" si="0"/>
        <v>1200</v>
      </c>
      <c r="J7" s="15">
        <f t="shared" si="0"/>
        <v>1300</v>
      </c>
      <c r="K7" s="15">
        <f t="shared" si="0"/>
        <v>1400</v>
      </c>
      <c r="L7" s="15">
        <f t="shared" si="0"/>
        <v>1500</v>
      </c>
    </row>
    <row r="8" spans="1:12" ht="13.5" thickBot="1">
      <c r="A8" s="16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2.75">
      <c r="A9" s="17" t="s">
        <v>8</v>
      </c>
      <c r="B9" s="15">
        <f>J1-B7</f>
        <v>0</v>
      </c>
      <c r="C9" s="15">
        <f aca="true" t="shared" si="1" ref="C9:L9">$L1-C7</f>
        <v>3400</v>
      </c>
      <c r="D9" s="15">
        <f t="shared" si="1"/>
        <v>3300</v>
      </c>
      <c r="E9" s="15">
        <f t="shared" si="1"/>
        <v>3200</v>
      </c>
      <c r="F9" s="15">
        <f t="shared" si="1"/>
        <v>3100</v>
      </c>
      <c r="G9" s="15">
        <f t="shared" si="1"/>
        <v>3000</v>
      </c>
      <c r="H9" s="15">
        <f t="shared" si="1"/>
        <v>2900</v>
      </c>
      <c r="I9" s="15">
        <f t="shared" si="1"/>
        <v>2800</v>
      </c>
      <c r="J9" s="15">
        <f t="shared" si="1"/>
        <v>2700</v>
      </c>
      <c r="K9" s="15">
        <f t="shared" si="1"/>
        <v>2600</v>
      </c>
      <c r="L9" s="15">
        <f t="shared" si="1"/>
        <v>2500</v>
      </c>
    </row>
    <row r="10" spans="1:12" ht="13.5" thickBot="1">
      <c r="A10" s="12"/>
      <c r="B10" s="18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5" thickBot="1">
      <c r="A11" s="16" t="s">
        <v>10</v>
      </c>
      <c r="B11" s="13">
        <v>3000</v>
      </c>
      <c r="C11" s="13">
        <v>3400</v>
      </c>
      <c r="D11" s="13">
        <v>3800</v>
      </c>
      <c r="E11" s="13">
        <v>4200</v>
      </c>
      <c r="F11" s="13">
        <v>4600</v>
      </c>
      <c r="G11" s="13">
        <v>5000</v>
      </c>
      <c r="H11" s="13">
        <v>5400</v>
      </c>
      <c r="I11" s="13">
        <v>5800</v>
      </c>
      <c r="J11" s="13">
        <v>6200</v>
      </c>
      <c r="K11" s="13">
        <v>6600</v>
      </c>
      <c r="L11" s="13">
        <v>7000</v>
      </c>
    </row>
    <row r="12" spans="1:12" ht="12.75">
      <c r="A12" s="17" t="s">
        <v>11</v>
      </c>
      <c r="B12" s="15">
        <v>0</v>
      </c>
      <c r="C12" s="15">
        <f aca="true" t="shared" si="2" ref="C12:L12">MIN(C11,C9)</f>
        <v>3400</v>
      </c>
      <c r="D12" s="15">
        <f t="shared" si="2"/>
        <v>3300</v>
      </c>
      <c r="E12" s="15">
        <f t="shared" si="2"/>
        <v>3200</v>
      </c>
      <c r="F12" s="15">
        <f t="shared" si="2"/>
        <v>3100</v>
      </c>
      <c r="G12" s="15">
        <f t="shared" si="2"/>
        <v>3000</v>
      </c>
      <c r="H12" s="15">
        <f t="shared" si="2"/>
        <v>2900</v>
      </c>
      <c r="I12" s="15">
        <f t="shared" si="2"/>
        <v>2800</v>
      </c>
      <c r="J12" s="15">
        <f t="shared" si="2"/>
        <v>2700</v>
      </c>
      <c r="K12" s="15">
        <f t="shared" si="2"/>
        <v>2600</v>
      </c>
      <c r="L12" s="15">
        <f t="shared" si="2"/>
        <v>2500</v>
      </c>
    </row>
    <row r="13" spans="1:12" ht="13.5" thickBot="1">
      <c r="A13" s="12" t="s">
        <v>12</v>
      </c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.75">
      <c r="A14" s="17" t="s">
        <v>13</v>
      </c>
      <c r="B14" s="15">
        <f aca="true" t="shared" si="3" ref="B14:L14">B11-B12</f>
        <v>3000</v>
      </c>
      <c r="C14" s="15">
        <f t="shared" si="3"/>
        <v>0</v>
      </c>
      <c r="D14" s="15">
        <f t="shared" si="3"/>
        <v>500</v>
      </c>
      <c r="E14" s="15">
        <f t="shared" si="3"/>
        <v>1000</v>
      </c>
      <c r="F14" s="15">
        <f t="shared" si="3"/>
        <v>1500</v>
      </c>
      <c r="G14" s="15">
        <f t="shared" si="3"/>
        <v>2000</v>
      </c>
      <c r="H14" s="15">
        <f t="shared" si="3"/>
        <v>2500</v>
      </c>
      <c r="I14" s="15">
        <f t="shared" si="3"/>
        <v>3000</v>
      </c>
      <c r="J14" s="15">
        <f t="shared" si="3"/>
        <v>3500</v>
      </c>
      <c r="K14" s="15">
        <f t="shared" si="3"/>
        <v>4000</v>
      </c>
      <c r="L14" s="15">
        <f t="shared" si="3"/>
        <v>4500</v>
      </c>
    </row>
    <row r="15" spans="1:12" ht="13.5" thickBot="1">
      <c r="A15" s="12" t="s">
        <v>14</v>
      </c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7" t="s">
        <v>15</v>
      </c>
      <c r="B16" s="15">
        <v>3000</v>
      </c>
      <c r="C16" s="15">
        <v>0</v>
      </c>
      <c r="D16" s="15">
        <v>0</v>
      </c>
      <c r="E16" s="15">
        <v>1000</v>
      </c>
      <c r="F16" s="15">
        <v>1000</v>
      </c>
      <c r="G16" s="15">
        <v>2000</v>
      </c>
      <c r="H16" s="15">
        <v>2000</v>
      </c>
      <c r="I16" s="15">
        <v>2000</v>
      </c>
      <c r="J16" s="15">
        <v>2000</v>
      </c>
      <c r="K16" s="15">
        <v>2000</v>
      </c>
      <c r="L16" s="15">
        <v>2000</v>
      </c>
    </row>
    <row r="17" spans="1:12" ht="13.5" thickBot="1">
      <c r="A17" s="12" t="s">
        <v>16</v>
      </c>
      <c r="B17" s="18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4" t="s">
        <v>17</v>
      </c>
      <c r="B18" s="19">
        <f aca="true" t="shared" si="4" ref="B18:L18">B14-B16</f>
        <v>0</v>
      </c>
      <c r="C18" s="19">
        <f t="shared" si="4"/>
        <v>0</v>
      </c>
      <c r="D18" s="19">
        <f t="shared" si="4"/>
        <v>500</v>
      </c>
      <c r="E18" s="19">
        <f t="shared" si="4"/>
        <v>0</v>
      </c>
      <c r="F18" s="19">
        <f t="shared" si="4"/>
        <v>500</v>
      </c>
      <c r="G18" s="19">
        <f t="shared" si="4"/>
        <v>0</v>
      </c>
      <c r="H18" s="19">
        <f t="shared" si="4"/>
        <v>500</v>
      </c>
      <c r="I18" s="19">
        <f t="shared" si="4"/>
        <v>1000</v>
      </c>
      <c r="J18" s="19">
        <f t="shared" si="4"/>
        <v>1500</v>
      </c>
      <c r="K18" s="19">
        <f t="shared" si="4"/>
        <v>2000</v>
      </c>
      <c r="L18" s="19">
        <f t="shared" si="4"/>
        <v>2500</v>
      </c>
    </row>
    <row r="19" spans="1:12" ht="13.5" thickBot="1">
      <c r="A19" s="20" t="s">
        <v>18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2:12" ht="13.5" thickTop="1">
      <c r="B20" s="8"/>
      <c r="L20" s="8"/>
    </row>
    <row r="21" spans="1:12" ht="15.75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2:12" ht="13.5" thickBot="1">
      <c r="B22" s="8"/>
      <c r="L22" s="8"/>
    </row>
    <row r="23" spans="1:12" ht="14.25" thickBot="1" thickTop="1">
      <c r="A23" s="53" t="s">
        <v>81</v>
      </c>
      <c r="B23" s="75">
        <v>0</v>
      </c>
      <c r="C23" s="66">
        <v>1</v>
      </c>
      <c r="D23" s="66">
        <v>2</v>
      </c>
      <c r="E23" s="66">
        <v>3</v>
      </c>
      <c r="F23" s="66">
        <v>4</v>
      </c>
      <c r="G23" s="66">
        <v>5</v>
      </c>
      <c r="H23" s="66">
        <v>6</v>
      </c>
      <c r="I23" s="66">
        <v>7</v>
      </c>
      <c r="J23" s="66">
        <v>8</v>
      </c>
      <c r="K23" s="66">
        <v>9</v>
      </c>
      <c r="L23" s="66">
        <v>10</v>
      </c>
    </row>
    <row r="24" spans="1:12" ht="13.5" thickTop="1">
      <c r="A24" s="17" t="s">
        <v>52</v>
      </c>
      <c r="B24" s="71"/>
      <c r="C24" s="47">
        <f>Param!$B31*C7</f>
        <v>120000</v>
      </c>
      <c r="D24" s="47">
        <f>Param!$B31*D7</f>
        <v>140000</v>
      </c>
      <c r="E24" s="47">
        <f>Param!$B31*E7</f>
        <v>160000</v>
      </c>
      <c r="F24" s="47">
        <f>Param!$B31*F7</f>
        <v>180000</v>
      </c>
      <c r="G24" s="47">
        <f>Param!$B31*G7</f>
        <v>200000</v>
      </c>
      <c r="H24" s="47">
        <f>Param!$B31*H7</f>
        <v>220000</v>
      </c>
      <c r="I24" s="47">
        <f>Param!$B31*I7</f>
        <v>240000</v>
      </c>
      <c r="J24" s="47">
        <f>Param!$B31*J7</f>
        <v>260000</v>
      </c>
      <c r="K24" s="47">
        <f>Param!$B31*K7</f>
        <v>280000</v>
      </c>
      <c r="L24" s="47">
        <f>Param!$B31*L7</f>
        <v>300000</v>
      </c>
    </row>
    <row r="25" spans="1:12" ht="12.75">
      <c r="A25" s="17" t="s">
        <v>53</v>
      </c>
      <c r="B25" s="71"/>
      <c r="C25" s="47">
        <f>Param!$C31*C11</f>
        <v>340000</v>
      </c>
      <c r="D25" s="47">
        <f>Param!$C31*D11</f>
        <v>380000</v>
      </c>
      <c r="E25" s="47">
        <f>Param!$C31*E11</f>
        <v>420000</v>
      </c>
      <c r="F25" s="47">
        <f>Param!$C31*F11</f>
        <v>460000</v>
      </c>
      <c r="G25" s="47">
        <f>Param!$C31*G11</f>
        <v>500000</v>
      </c>
      <c r="H25" s="47">
        <f>Param!$C31*H11</f>
        <v>540000</v>
      </c>
      <c r="I25" s="47">
        <f>Param!$C31*I11</f>
        <v>580000</v>
      </c>
      <c r="J25" s="47">
        <f>Param!$C31*J11</f>
        <v>620000</v>
      </c>
      <c r="K25" s="47">
        <f>Param!$C31*K11</f>
        <v>660000</v>
      </c>
      <c r="L25" s="47">
        <f>Param!$C31*L11</f>
        <v>700000</v>
      </c>
    </row>
    <row r="26" spans="1:12" s="31" customFormat="1" ht="12.75">
      <c r="A26" s="62" t="s">
        <v>54</v>
      </c>
      <c r="B26" s="72"/>
      <c r="C26" s="63">
        <f aca="true" t="shared" si="5" ref="C26:L26">SUM(C24:C25)</f>
        <v>460000</v>
      </c>
      <c r="D26" s="63">
        <f t="shared" si="5"/>
        <v>520000</v>
      </c>
      <c r="E26" s="63">
        <f t="shared" si="5"/>
        <v>580000</v>
      </c>
      <c r="F26" s="63">
        <f t="shared" si="5"/>
        <v>640000</v>
      </c>
      <c r="G26" s="63">
        <f t="shared" si="5"/>
        <v>700000</v>
      </c>
      <c r="H26" s="63">
        <f t="shared" si="5"/>
        <v>760000</v>
      </c>
      <c r="I26" s="63">
        <f t="shared" si="5"/>
        <v>820000</v>
      </c>
      <c r="J26" s="63">
        <f t="shared" si="5"/>
        <v>880000</v>
      </c>
      <c r="K26" s="63">
        <f t="shared" si="5"/>
        <v>940000</v>
      </c>
      <c r="L26" s="63">
        <f t="shared" si="5"/>
        <v>1000000</v>
      </c>
    </row>
    <row r="27" spans="1:12" ht="12.75">
      <c r="A27" s="17" t="s">
        <v>39</v>
      </c>
      <c r="B27" s="71"/>
      <c r="C27" s="47">
        <f>Param!$B35*C7</f>
        <v>30000</v>
      </c>
      <c r="D27" s="47">
        <f>Param!$B35*D7</f>
        <v>35000</v>
      </c>
      <c r="E27" s="47">
        <f>Param!$B35*E7</f>
        <v>40000</v>
      </c>
      <c r="F27" s="47">
        <f>Param!$B35*F7</f>
        <v>45000</v>
      </c>
      <c r="G27" s="47">
        <f>Param!$B35*G7</f>
        <v>50000</v>
      </c>
      <c r="H27" s="47">
        <f>Param!$B35*H7</f>
        <v>55000</v>
      </c>
      <c r="I27" s="47">
        <f>Param!$B35*I7</f>
        <v>60000</v>
      </c>
      <c r="J27" s="47">
        <f>Param!$B35*J7</f>
        <v>65000</v>
      </c>
      <c r="K27" s="47">
        <f>Param!$B35*K7</f>
        <v>70000</v>
      </c>
      <c r="L27" s="47">
        <f>Param!$B35*L7</f>
        <v>75000</v>
      </c>
    </row>
    <row r="28" spans="1:12" ht="12.75">
      <c r="A28" s="17" t="s">
        <v>40</v>
      </c>
      <c r="B28" s="71"/>
      <c r="C28" s="47">
        <f>Param!$C35*C12</f>
        <v>142800</v>
      </c>
      <c r="D28" s="47">
        <f>Param!$C35*D12</f>
        <v>138600</v>
      </c>
      <c r="E28" s="47">
        <f>Param!$C35*E12</f>
        <v>134400</v>
      </c>
      <c r="F28" s="47">
        <f>Param!$C35*F12</f>
        <v>130200</v>
      </c>
      <c r="G28" s="47">
        <f>Param!$C35*G12</f>
        <v>126000</v>
      </c>
      <c r="H28" s="47">
        <f>Param!$C35*H12</f>
        <v>121800</v>
      </c>
      <c r="I28" s="47">
        <f>Param!$C35*I12</f>
        <v>117600</v>
      </c>
      <c r="J28" s="47">
        <f>Param!$C35*J12</f>
        <v>113400</v>
      </c>
      <c r="K28" s="47">
        <f>Param!$C35*K12</f>
        <v>109200</v>
      </c>
      <c r="L28" s="47">
        <f>Param!$C35*L12</f>
        <v>105000</v>
      </c>
    </row>
    <row r="29" spans="1:12" ht="12.75">
      <c r="A29" s="17" t="s">
        <v>41</v>
      </c>
      <c r="B29" s="71"/>
      <c r="C29" s="47">
        <f>Param!$D35*C16</f>
        <v>0</v>
      </c>
      <c r="D29" s="47">
        <f>Param!$D35*D16</f>
        <v>0</v>
      </c>
      <c r="E29" s="47">
        <f>Param!$D35*E16</f>
        <v>80000</v>
      </c>
      <c r="F29" s="47">
        <f>Param!$D35*F16</f>
        <v>80000</v>
      </c>
      <c r="G29" s="47">
        <f>Param!$D35*G16</f>
        <v>160000</v>
      </c>
      <c r="H29" s="47">
        <f>Param!$D35*H16</f>
        <v>160000</v>
      </c>
      <c r="I29" s="47">
        <f>Param!$D35*I16</f>
        <v>160000</v>
      </c>
      <c r="J29" s="47">
        <f>Param!$D35*J16</f>
        <v>160000</v>
      </c>
      <c r="K29" s="47">
        <f>Param!$D35*K16</f>
        <v>160000</v>
      </c>
      <c r="L29" s="47">
        <f>Param!$D35*L16</f>
        <v>160000</v>
      </c>
    </row>
    <row r="30" spans="1:12" ht="12.75">
      <c r="A30" s="17" t="s">
        <v>42</v>
      </c>
      <c r="B30" s="71"/>
      <c r="C30" s="47">
        <f>Param!$E35*C18</f>
        <v>0</v>
      </c>
      <c r="D30" s="47">
        <f>Param!$E35*D18</f>
        <v>45000</v>
      </c>
      <c r="E30" s="47">
        <f>Param!$E35*E18</f>
        <v>0</v>
      </c>
      <c r="F30" s="47">
        <f>Param!$E35*F18</f>
        <v>45000</v>
      </c>
      <c r="G30" s="47">
        <f>Param!$E35*G18</f>
        <v>0</v>
      </c>
      <c r="H30" s="47">
        <f>Param!$E35*H18</f>
        <v>45000</v>
      </c>
      <c r="I30" s="47">
        <f>Param!$E35*I18</f>
        <v>90000</v>
      </c>
      <c r="J30" s="47">
        <f>Param!$E35*J18</f>
        <v>135000</v>
      </c>
      <c r="K30" s="47">
        <f>Param!$E35*K18</f>
        <v>180000</v>
      </c>
      <c r="L30" s="47">
        <f>Param!$E35*L18</f>
        <v>225000</v>
      </c>
    </row>
    <row r="31" spans="1:12" ht="12.75">
      <c r="A31" s="17" t="s">
        <v>43</v>
      </c>
      <c r="B31" s="71"/>
      <c r="C31" s="47">
        <f aca="true" t="shared" si="6" ref="C31:L31">SUM(C27:C30)</f>
        <v>172800</v>
      </c>
      <c r="D31" s="47">
        <f t="shared" si="6"/>
        <v>218600</v>
      </c>
      <c r="E31" s="47">
        <f t="shared" si="6"/>
        <v>254400</v>
      </c>
      <c r="F31" s="47">
        <f t="shared" si="6"/>
        <v>300200</v>
      </c>
      <c r="G31" s="47">
        <f t="shared" si="6"/>
        <v>336000</v>
      </c>
      <c r="H31" s="47">
        <f t="shared" si="6"/>
        <v>381800</v>
      </c>
      <c r="I31" s="47">
        <f t="shared" si="6"/>
        <v>427600</v>
      </c>
      <c r="J31" s="47">
        <f t="shared" si="6"/>
        <v>473400</v>
      </c>
      <c r="K31" s="47">
        <f t="shared" si="6"/>
        <v>519200</v>
      </c>
      <c r="L31" s="47">
        <f t="shared" si="6"/>
        <v>565000</v>
      </c>
    </row>
    <row r="32" spans="1:12" ht="12.75">
      <c r="A32" s="62" t="s">
        <v>44</v>
      </c>
      <c r="B32" s="72"/>
      <c r="C32" s="63">
        <f aca="true" t="shared" si="7" ref="C32:L32">C26-C31</f>
        <v>287200</v>
      </c>
      <c r="D32" s="63">
        <f t="shared" si="7"/>
        <v>301400</v>
      </c>
      <c r="E32" s="63">
        <f t="shared" si="7"/>
        <v>325600</v>
      </c>
      <c r="F32" s="63">
        <f t="shared" si="7"/>
        <v>339800</v>
      </c>
      <c r="G32" s="63">
        <f t="shared" si="7"/>
        <v>364000</v>
      </c>
      <c r="H32" s="63">
        <f t="shared" si="7"/>
        <v>378200</v>
      </c>
      <c r="I32" s="63">
        <f t="shared" si="7"/>
        <v>392400</v>
      </c>
      <c r="J32" s="63">
        <f t="shared" si="7"/>
        <v>406600</v>
      </c>
      <c r="K32" s="63">
        <f t="shared" si="7"/>
        <v>420800</v>
      </c>
      <c r="L32" s="63">
        <f t="shared" si="7"/>
        <v>435000</v>
      </c>
    </row>
    <row r="33" spans="1:12" ht="12.75">
      <c r="A33" s="17" t="s">
        <v>45</v>
      </c>
      <c r="B33" s="71"/>
      <c r="C33" s="46">
        <f>IF(C23&lt;=Param!$B15,Param!$B17,0)</f>
        <v>185209.1705685619</v>
      </c>
      <c r="D33" s="46">
        <f>IF(D23&lt;=Param!$B15,Param!$B17,0)</f>
        <v>185209.1705685619</v>
      </c>
      <c r="E33" s="46">
        <f>IF(E23&lt;=Param!$B15,Param!$B17,0)</f>
        <v>185209.1705685619</v>
      </c>
      <c r="F33" s="46">
        <f>IF(F23&lt;=Param!$B15,Param!$B17,0)</f>
        <v>185209.1705685619</v>
      </c>
      <c r="G33" s="46">
        <f>IF(G23&lt;=Param!$B15,Param!$B17,0)</f>
        <v>185209.1705685619</v>
      </c>
      <c r="H33" s="46">
        <f>IF(H23&lt;=Param!$B15,Param!$B17,0)</f>
        <v>0</v>
      </c>
      <c r="I33" s="46">
        <f>IF(I23&lt;=Param!$B15,Param!$B17,0)</f>
        <v>0</v>
      </c>
      <c r="J33" s="46">
        <f>IF(J23&lt;=Param!$B15,Param!$B17,0)</f>
        <v>0</v>
      </c>
      <c r="K33" s="46">
        <f>IF(K23&lt;=Param!$B15,Param!$B17,0)</f>
        <v>0</v>
      </c>
      <c r="L33" s="46">
        <f>IF(L23&lt;=Param!$B15,Param!$B17,0)</f>
        <v>0</v>
      </c>
    </row>
    <row r="34" spans="1:12" ht="12.75">
      <c r="A34" s="17" t="s">
        <v>46</v>
      </c>
      <c r="B34" s="71"/>
      <c r="C34" s="47">
        <f>IF(C23&lt;=Param!$C16,Param!$C17,0)</f>
        <v>120000</v>
      </c>
      <c r="D34" s="47">
        <f>IF(D23&lt;=Param!$C16,Param!$C17,0)</f>
        <v>0</v>
      </c>
      <c r="E34" s="47">
        <f>IF(E23&lt;=Param!$C16,Param!$C17,0)</f>
        <v>0</v>
      </c>
      <c r="F34" s="47">
        <f>IF(F23&lt;=Param!$C16,Param!$C17,0)</f>
        <v>0</v>
      </c>
      <c r="G34" s="47">
        <f>IF(G23&lt;=Param!$C16,Param!$C17,0)</f>
        <v>0</v>
      </c>
      <c r="H34" s="47">
        <f>IF(H23&lt;=Param!$C16,Param!$C17,0)</f>
        <v>0</v>
      </c>
      <c r="I34" s="47">
        <f>IF(I23&lt;=Param!$C16,Param!$C17,0)</f>
        <v>0</v>
      </c>
      <c r="J34" s="47">
        <f>IF(J23&lt;=Param!$C16,Param!$C17,0)</f>
        <v>0</v>
      </c>
      <c r="K34" s="47">
        <f>IF(K23&lt;=Param!$C16,Param!$C17,0)</f>
        <v>0</v>
      </c>
      <c r="L34" s="47">
        <f>IF(L23&lt;=Param!$C16,Param!$C17,0)</f>
        <v>0</v>
      </c>
    </row>
    <row r="35" spans="1:12" ht="12.75">
      <c r="A35" s="62" t="s">
        <v>47</v>
      </c>
      <c r="B35" s="72"/>
      <c r="C35" s="63">
        <f aca="true" t="shared" si="8" ref="C35:L35">C32-(C33+C34)</f>
        <v>-18009.17056856188</v>
      </c>
      <c r="D35" s="63">
        <f t="shared" si="8"/>
        <v>116190.82943143809</v>
      </c>
      <c r="E35" s="63">
        <f t="shared" si="8"/>
        <v>140390.8294314381</v>
      </c>
      <c r="F35" s="63">
        <f t="shared" si="8"/>
        <v>154590.8294314381</v>
      </c>
      <c r="G35" s="63">
        <f t="shared" si="8"/>
        <v>178790.8294314381</v>
      </c>
      <c r="H35" s="63">
        <f t="shared" si="8"/>
        <v>378200</v>
      </c>
      <c r="I35" s="63">
        <f t="shared" si="8"/>
        <v>392400</v>
      </c>
      <c r="J35" s="63">
        <f t="shared" si="8"/>
        <v>406600</v>
      </c>
      <c r="K35" s="63">
        <f t="shared" si="8"/>
        <v>420800</v>
      </c>
      <c r="L35" s="63">
        <f t="shared" si="8"/>
        <v>435000</v>
      </c>
    </row>
    <row r="36" spans="1:12" ht="12.75">
      <c r="A36" s="17" t="s">
        <v>48</v>
      </c>
      <c r="B36" s="71"/>
      <c r="C36" s="47">
        <f>Param!$B3*C35</f>
        <v>-6003.056856187293</v>
      </c>
      <c r="D36" s="47">
        <f>Param!$B3*D35</f>
        <v>38730.27647714603</v>
      </c>
      <c r="E36" s="47">
        <f>Param!$B3*E35</f>
        <v>46796.94314381269</v>
      </c>
      <c r="F36" s="47">
        <f>Param!$B3*F35</f>
        <v>51530.27647714603</v>
      </c>
      <c r="G36" s="47">
        <f>Param!$B3*G35</f>
        <v>59596.94314381269</v>
      </c>
      <c r="H36" s="47">
        <f>Param!$B3*H35</f>
        <v>126066.66666666666</v>
      </c>
      <c r="I36" s="47">
        <f>Param!$B3*I35</f>
        <v>130800</v>
      </c>
      <c r="J36" s="47">
        <f>Param!$B3*J35</f>
        <v>135533.3333333333</v>
      </c>
      <c r="K36" s="47">
        <f>Param!$B3*K35</f>
        <v>140266.66666666666</v>
      </c>
      <c r="L36" s="47">
        <f>Param!$B3*L35</f>
        <v>145000</v>
      </c>
    </row>
    <row r="37" spans="1:12" ht="12.75">
      <c r="A37" s="62" t="s">
        <v>49</v>
      </c>
      <c r="B37" s="72"/>
      <c r="C37" s="63">
        <f aca="true" t="shared" si="9" ref="C37:L37">C35-C36</f>
        <v>-12006.113712374587</v>
      </c>
      <c r="D37" s="63">
        <f t="shared" si="9"/>
        <v>77460.55295429207</v>
      </c>
      <c r="E37" s="63">
        <f t="shared" si="9"/>
        <v>93593.8862876254</v>
      </c>
      <c r="F37" s="63">
        <f t="shared" si="9"/>
        <v>103060.55295429207</v>
      </c>
      <c r="G37" s="63">
        <f t="shared" si="9"/>
        <v>119193.8862876254</v>
      </c>
      <c r="H37" s="63">
        <f t="shared" si="9"/>
        <v>252133.33333333334</v>
      </c>
      <c r="I37" s="63">
        <f t="shared" si="9"/>
        <v>261600</v>
      </c>
      <c r="J37" s="63">
        <f t="shared" si="9"/>
        <v>271066.6666666667</v>
      </c>
      <c r="K37" s="63">
        <f t="shared" si="9"/>
        <v>280533.3333333334</v>
      </c>
      <c r="L37" s="63">
        <f t="shared" si="9"/>
        <v>290000</v>
      </c>
    </row>
    <row r="38" spans="1:12" ht="12.75">
      <c r="A38" s="17" t="s">
        <v>45</v>
      </c>
      <c r="B38" s="71"/>
      <c r="C38" s="47">
        <f aca="true" t="shared" si="10" ref="C38:L38">C33</f>
        <v>185209.1705685619</v>
      </c>
      <c r="D38" s="47">
        <f t="shared" si="10"/>
        <v>185209.1705685619</v>
      </c>
      <c r="E38" s="47">
        <f t="shared" si="10"/>
        <v>185209.1705685619</v>
      </c>
      <c r="F38" s="47">
        <f t="shared" si="10"/>
        <v>185209.1705685619</v>
      </c>
      <c r="G38" s="47">
        <f t="shared" si="10"/>
        <v>185209.1705685619</v>
      </c>
      <c r="H38" s="47">
        <f t="shared" si="10"/>
        <v>0</v>
      </c>
      <c r="I38" s="47">
        <f t="shared" si="10"/>
        <v>0</v>
      </c>
      <c r="J38" s="47">
        <f t="shared" si="10"/>
        <v>0</v>
      </c>
      <c r="K38" s="47">
        <f t="shared" si="10"/>
        <v>0</v>
      </c>
      <c r="L38" s="47">
        <f t="shared" si="10"/>
        <v>0</v>
      </c>
    </row>
    <row r="39" spans="1:12" ht="13.5" thickBot="1">
      <c r="A39" s="17" t="s">
        <v>46</v>
      </c>
      <c r="B39" s="71"/>
      <c r="C39" s="47">
        <f aca="true" t="shared" si="11" ref="C39:L39">C34</f>
        <v>120000</v>
      </c>
      <c r="D39" s="47">
        <f t="shared" si="11"/>
        <v>0</v>
      </c>
      <c r="E39" s="47">
        <f t="shared" si="11"/>
        <v>0</v>
      </c>
      <c r="F39" s="47">
        <f t="shared" si="11"/>
        <v>0</v>
      </c>
      <c r="G39" s="47">
        <f t="shared" si="11"/>
        <v>0</v>
      </c>
      <c r="H39" s="47">
        <f t="shared" si="11"/>
        <v>0</v>
      </c>
      <c r="I39" s="47">
        <f t="shared" si="11"/>
        <v>0</v>
      </c>
      <c r="J39" s="47">
        <f t="shared" si="11"/>
        <v>0</v>
      </c>
      <c r="K39" s="47">
        <f t="shared" si="11"/>
        <v>0</v>
      </c>
      <c r="L39" s="47">
        <f t="shared" si="11"/>
        <v>0</v>
      </c>
    </row>
    <row r="40" spans="1:12" ht="14.25" thickBot="1" thickTop="1">
      <c r="A40" s="53" t="s">
        <v>50</v>
      </c>
      <c r="B40" s="70">
        <v>0</v>
      </c>
      <c r="C40" s="67">
        <f aca="true" t="shared" si="12" ref="C40:L40">C37+C38+C39</f>
        <v>293203.0568561873</v>
      </c>
      <c r="D40" s="67">
        <f t="shared" si="12"/>
        <v>262669.723522854</v>
      </c>
      <c r="E40" s="67">
        <f t="shared" si="12"/>
        <v>278803.0568561873</v>
      </c>
      <c r="F40" s="67">
        <f t="shared" si="12"/>
        <v>288269.723522854</v>
      </c>
      <c r="G40" s="67">
        <f t="shared" si="12"/>
        <v>304403.0568561873</v>
      </c>
      <c r="H40" s="67">
        <f t="shared" si="12"/>
        <v>252133.33333333334</v>
      </c>
      <c r="I40" s="67">
        <f t="shared" si="12"/>
        <v>261600</v>
      </c>
      <c r="J40" s="67">
        <f t="shared" si="12"/>
        <v>271066.6666666667</v>
      </c>
      <c r="K40" s="67">
        <f t="shared" si="12"/>
        <v>280533.3333333334</v>
      </c>
      <c r="L40" s="67">
        <f t="shared" si="12"/>
        <v>290000</v>
      </c>
    </row>
    <row r="41" ht="14.25" thickBot="1" thickTop="1"/>
    <row r="42" spans="1:12" ht="14.25" thickBot="1" thickTop="1">
      <c r="A42" s="53" t="s">
        <v>80</v>
      </c>
      <c r="B42" s="75">
        <f aca="true" t="shared" si="13" ref="B42:L42">B23</f>
        <v>0</v>
      </c>
      <c r="C42" s="66">
        <f t="shared" si="13"/>
        <v>1</v>
      </c>
      <c r="D42" s="66">
        <f t="shared" si="13"/>
        <v>2</v>
      </c>
      <c r="E42" s="66">
        <f t="shared" si="13"/>
        <v>3</v>
      </c>
      <c r="F42" s="66">
        <f t="shared" si="13"/>
        <v>4</v>
      </c>
      <c r="G42" s="66">
        <f t="shared" si="13"/>
        <v>5</v>
      </c>
      <c r="H42" s="66">
        <f t="shared" si="13"/>
        <v>6</v>
      </c>
      <c r="I42" s="66">
        <f t="shared" si="13"/>
        <v>7</v>
      </c>
      <c r="J42" s="66">
        <f t="shared" si="13"/>
        <v>8</v>
      </c>
      <c r="K42" s="66">
        <f t="shared" si="13"/>
        <v>9</v>
      </c>
      <c r="L42" s="66">
        <f t="shared" si="13"/>
        <v>10</v>
      </c>
    </row>
    <row r="43" spans="1:12" ht="13.5" thickTop="1">
      <c r="A43" s="17" t="s">
        <v>52</v>
      </c>
      <c r="B43" s="71"/>
      <c r="C43" s="46">
        <f>Param!$B31*$B7</f>
        <v>0</v>
      </c>
      <c r="D43" s="46">
        <f>Param!$B31*$B7</f>
        <v>0</v>
      </c>
      <c r="E43" s="46">
        <f>Param!$B31*$B7</f>
        <v>0</v>
      </c>
      <c r="F43" s="46">
        <f>Param!$B31*$B7</f>
        <v>0</v>
      </c>
      <c r="G43" s="46">
        <f>Param!$B31*$B7</f>
        <v>0</v>
      </c>
      <c r="H43" s="46">
        <f>Param!$B31*$B7</f>
        <v>0</v>
      </c>
      <c r="I43" s="46">
        <f>Param!$B31*$B7</f>
        <v>0</v>
      </c>
      <c r="J43" s="46">
        <f>Param!$B31*$B7</f>
        <v>0</v>
      </c>
      <c r="K43" s="46">
        <f>Param!$B31*$B7</f>
        <v>0</v>
      </c>
      <c r="L43" s="46">
        <f>Param!$B31*$B7</f>
        <v>0</v>
      </c>
    </row>
    <row r="44" spans="1:12" ht="12.75">
      <c r="A44" s="17" t="s">
        <v>53</v>
      </c>
      <c r="B44" s="71"/>
      <c r="C44" s="47">
        <f>Param!$C31*C11</f>
        <v>340000</v>
      </c>
      <c r="D44" s="47">
        <f>Param!$C31*D11</f>
        <v>380000</v>
      </c>
      <c r="E44" s="47">
        <f>Param!$C31*E11</f>
        <v>420000</v>
      </c>
      <c r="F44" s="47">
        <f>Param!$C31*F11</f>
        <v>460000</v>
      </c>
      <c r="G44" s="47">
        <f>Param!$C31*G11</f>
        <v>500000</v>
      </c>
      <c r="H44" s="47">
        <f>Param!$C31*H11</f>
        <v>540000</v>
      </c>
      <c r="I44" s="47">
        <f>Param!$C31*I11</f>
        <v>580000</v>
      </c>
      <c r="J44" s="47">
        <f>Param!$C31*J11</f>
        <v>620000</v>
      </c>
      <c r="K44" s="47">
        <f>Param!$C31*K11</f>
        <v>660000</v>
      </c>
      <c r="L44" s="47">
        <f>Param!$C31*L11</f>
        <v>700000</v>
      </c>
    </row>
    <row r="45" spans="1:12" ht="12.75">
      <c r="A45" s="62" t="s">
        <v>54</v>
      </c>
      <c r="B45" s="72"/>
      <c r="C45" s="63">
        <f aca="true" t="shared" si="14" ref="C45:L45">SUM(C43:C44)</f>
        <v>340000</v>
      </c>
      <c r="D45" s="63">
        <f t="shared" si="14"/>
        <v>380000</v>
      </c>
      <c r="E45" s="63">
        <f t="shared" si="14"/>
        <v>420000</v>
      </c>
      <c r="F45" s="63">
        <f t="shared" si="14"/>
        <v>460000</v>
      </c>
      <c r="G45" s="63">
        <f t="shared" si="14"/>
        <v>500000</v>
      </c>
      <c r="H45" s="63">
        <f t="shared" si="14"/>
        <v>540000</v>
      </c>
      <c r="I45" s="63">
        <f t="shared" si="14"/>
        <v>580000</v>
      </c>
      <c r="J45" s="63">
        <f t="shared" si="14"/>
        <v>620000</v>
      </c>
      <c r="K45" s="63">
        <f t="shared" si="14"/>
        <v>660000</v>
      </c>
      <c r="L45" s="63">
        <f t="shared" si="14"/>
        <v>700000</v>
      </c>
    </row>
    <row r="46" spans="1:12" ht="12.75">
      <c r="A46" s="17" t="s">
        <v>39</v>
      </c>
      <c r="B46" s="71"/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</row>
    <row r="47" spans="1:12" ht="12.75">
      <c r="A47" s="17" t="s">
        <v>40</v>
      </c>
      <c r="B47" s="71"/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</row>
    <row r="48" spans="1:12" ht="12.75">
      <c r="A48" s="17" t="s">
        <v>41</v>
      </c>
      <c r="B48" s="71"/>
      <c r="C48" s="47">
        <f>Param!$D35*$B16</f>
        <v>240000</v>
      </c>
      <c r="D48" s="47">
        <f>Param!$D35*$B16</f>
        <v>240000</v>
      </c>
      <c r="E48" s="47">
        <f>Param!$D35*$B16</f>
        <v>240000</v>
      </c>
      <c r="F48" s="47">
        <f>Param!$D35*$B16</f>
        <v>240000</v>
      </c>
      <c r="G48" s="47">
        <f>Param!$D35*$B16</f>
        <v>240000</v>
      </c>
      <c r="H48" s="47">
        <f>Param!$D35*$B16</f>
        <v>240000</v>
      </c>
      <c r="I48" s="47">
        <f>Param!$D35*$B16</f>
        <v>240000</v>
      </c>
      <c r="J48" s="47">
        <f>Param!$D35*$B16</f>
        <v>240000</v>
      </c>
      <c r="K48" s="47">
        <f>Param!$D35*$B16</f>
        <v>240000</v>
      </c>
      <c r="L48" s="47">
        <f>Param!$D35*$B16</f>
        <v>240000</v>
      </c>
    </row>
    <row r="49" spans="1:12" ht="12.75">
      <c r="A49" s="17" t="s">
        <v>42</v>
      </c>
      <c r="B49" s="71"/>
      <c r="C49" s="47">
        <f>Param!$E35*(C11-$B16)</f>
        <v>36000</v>
      </c>
      <c r="D49" s="47">
        <f>Param!$E35*(D11-$B16)</f>
        <v>72000</v>
      </c>
      <c r="E49" s="47">
        <f>Param!$E35*(E11-$B16)</f>
        <v>108000</v>
      </c>
      <c r="F49" s="47">
        <f>Param!$E35*(F11-$B16)</f>
        <v>144000</v>
      </c>
      <c r="G49" s="47">
        <f>Param!$E35*(G11-$B16)</f>
        <v>180000</v>
      </c>
      <c r="H49" s="47">
        <f>Param!$E35*(H11-$B16)</f>
        <v>216000</v>
      </c>
      <c r="I49" s="47">
        <f>Param!$E35*(I11-$B16)</f>
        <v>252000</v>
      </c>
      <c r="J49" s="47">
        <f>Param!$E35*(J11-$B16)</f>
        <v>288000</v>
      </c>
      <c r="K49" s="47">
        <f>Param!$E35*(K11-$B16)</f>
        <v>324000</v>
      </c>
      <c r="L49" s="47">
        <f>Param!$E35*(L11-$B16)</f>
        <v>360000</v>
      </c>
    </row>
    <row r="50" spans="1:12" ht="12.75">
      <c r="A50" s="17" t="s">
        <v>43</v>
      </c>
      <c r="B50" s="71"/>
      <c r="C50" s="47">
        <f aca="true" t="shared" si="15" ref="C50:L50">SUM(C46:C49)</f>
        <v>276000</v>
      </c>
      <c r="D50" s="47">
        <f t="shared" si="15"/>
        <v>312000</v>
      </c>
      <c r="E50" s="47">
        <f t="shared" si="15"/>
        <v>348000</v>
      </c>
      <c r="F50" s="47">
        <f t="shared" si="15"/>
        <v>384000</v>
      </c>
      <c r="G50" s="47">
        <f t="shared" si="15"/>
        <v>420000</v>
      </c>
      <c r="H50" s="47">
        <f t="shared" si="15"/>
        <v>456000</v>
      </c>
      <c r="I50" s="47">
        <f t="shared" si="15"/>
        <v>492000</v>
      </c>
      <c r="J50" s="47">
        <f t="shared" si="15"/>
        <v>528000</v>
      </c>
      <c r="K50" s="47">
        <f t="shared" si="15"/>
        <v>564000</v>
      </c>
      <c r="L50" s="47">
        <f t="shared" si="15"/>
        <v>600000</v>
      </c>
    </row>
    <row r="51" spans="1:12" ht="12.75">
      <c r="A51" s="62" t="s">
        <v>44</v>
      </c>
      <c r="B51" s="72"/>
      <c r="C51" s="63">
        <f aca="true" t="shared" si="16" ref="C51:L51">C45-C50</f>
        <v>64000</v>
      </c>
      <c r="D51" s="63">
        <f t="shared" si="16"/>
        <v>68000</v>
      </c>
      <c r="E51" s="63">
        <f t="shared" si="16"/>
        <v>72000</v>
      </c>
      <c r="F51" s="63">
        <f t="shared" si="16"/>
        <v>76000</v>
      </c>
      <c r="G51" s="63">
        <f t="shared" si="16"/>
        <v>80000</v>
      </c>
      <c r="H51" s="63">
        <f t="shared" si="16"/>
        <v>84000</v>
      </c>
      <c r="I51" s="63">
        <f t="shared" si="16"/>
        <v>88000</v>
      </c>
      <c r="J51" s="63">
        <f t="shared" si="16"/>
        <v>92000</v>
      </c>
      <c r="K51" s="63">
        <f t="shared" si="16"/>
        <v>96000</v>
      </c>
      <c r="L51" s="63">
        <f t="shared" si="16"/>
        <v>100000</v>
      </c>
    </row>
    <row r="52" spans="1:12" ht="12.75">
      <c r="A52" s="17" t="s">
        <v>45</v>
      </c>
      <c r="B52" s="71"/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</row>
    <row r="53" spans="1:12" ht="12.75">
      <c r="A53" s="17" t="s">
        <v>46</v>
      </c>
      <c r="B53" s="71"/>
      <c r="C53" s="47">
        <f>IF(C23&lt;=Param!$C16,Param!$C17,0)</f>
        <v>120000</v>
      </c>
      <c r="D53" s="47">
        <f>IF(D23&lt;=Param!$C16,Param!$C17,0)</f>
        <v>0</v>
      </c>
      <c r="E53" s="47">
        <f>IF(E23&lt;=Param!$C16,Param!$C17,0)</f>
        <v>0</v>
      </c>
      <c r="F53" s="47">
        <f>IF(F23&lt;=Param!$C16,Param!$C17,0)</f>
        <v>0</v>
      </c>
      <c r="G53" s="47">
        <f>IF(G23&lt;=Param!$C16,Param!$C17,0)</f>
        <v>0</v>
      </c>
      <c r="H53" s="47">
        <f>IF(H23&lt;=Param!$C16,Param!$C17,0)</f>
        <v>0</v>
      </c>
      <c r="I53" s="47">
        <f>IF(I23&lt;=Param!$C16,Param!$C17,0)</f>
        <v>0</v>
      </c>
      <c r="J53" s="47">
        <f>IF(J23&lt;=Param!$C16,Param!$C17,0)</f>
        <v>0</v>
      </c>
      <c r="K53" s="47">
        <f>IF(K23&lt;=Param!$C16,Param!$C17,0)</f>
        <v>0</v>
      </c>
      <c r="L53" s="47">
        <f>IF(L23&lt;=Param!$C16,Param!$C17,0)</f>
        <v>0</v>
      </c>
    </row>
    <row r="54" spans="1:12" ht="12.75">
      <c r="A54" s="62" t="s">
        <v>47</v>
      </c>
      <c r="B54" s="72"/>
      <c r="C54" s="63">
        <f aca="true" t="shared" si="17" ref="C54:L54">C51-(C52+C53)</f>
        <v>-56000</v>
      </c>
      <c r="D54" s="63">
        <f t="shared" si="17"/>
        <v>68000</v>
      </c>
      <c r="E54" s="63">
        <f t="shared" si="17"/>
        <v>72000</v>
      </c>
      <c r="F54" s="63">
        <f t="shared" si="17"/>
        <v>76000</v>
      </c>
      <c r="G54" s="63">
        <f t="shared" si="17"/>
        <v>80000</v>
      </c>
      <c r="H54" s="63">
        <f t="shared" si="17"/>
        <v>84000</v>
      </c>
      <c r="I54" s="63">
        <f t="shared" si="17"/>
        <v>88000</v>
      </c>
      <c r="J54" s="63">
        <f t="shared" si="17"/>
        <v>92000</v>
      </c>
      <c r="K54" s="63">
        <f t="shared" si="17"/>
        <v>96000</v>
      </c>
      <c r="L54" s="63">
        <f t="shared" si="17"/>
        <v>100000</v>
      </c>
    </row>
    <row r="55" spans="1:12" ht="12.75">
      <c r="A55" s="17" t="s">
        <v>48</v>
      </c>
      <c r="B55" s="71"/>
      <c r="C55" s="47">
        <f>Param!$B3*C54</f>
        <v>-18666.666666666664</v>
      </c>
      <c r="D55" s="47">
        <f>Param!$B3*D54</f>
        <v>22666.666666666664</v>
      </c>
      <c r="E55" s="47">
        <f>Param!$B3*E54</f>
        <v>24000</v>
      </c>
      <c r="F55" s="47">
        <f>Param!$B3*F54</f>
        <v>25333.333333333332</v>
      </c>
      <c r="G55" s="47">
        <f>Param!$B3*G54</f>
        <v>26666.666666666664</v>
      </c>
      <c r="H55" s="47">
        <f>Param!$B3*H54</f>
        <v>28000</v>
      </c>
      <c r="I55" s="47">
        <f>Param!$B3*I54</f>
        <v>29333.333333333332</v>
      </c>
      <c r="J55" s="47">
        <f>Param!$B3*J54</f>
        <v>30666.666666666664</v>
      </c>
      <c r="K55" s="47">
        <f>Param!$B3*K54</f>
        <v>32000</v>
      </c>
      <c r="L55" s="47">
        <f>Param!$B3*L54</f>
        <v>33333.33333333333</v>
      </c>
    </row>
    <row r="56" spans="1:12" ht="12.75">
      <c r="A56" s="62" t="s">
        <v>49</v>
      </c>
      <c r="B56" s="72"/>
      <c r="C56" s="63">
        <f aca="true" t="shared" si="18" ref="C56:L56">C54-C55</f>
        <v>-37333.333333333336</v>
      </c>
      <c r="D56" s="63">
        <f t="shared" si="18"/>
        <v>45333.333333333336</v>
      </c>
      <c r="E56" s="63">
        <f t="shared" si="18"/>
        <v>48000</v>
      </c>
      <c r="F56" s="63">
        <f t="shared" si="18"/>
        <v>50666.66666666667</v>
      </c>
      <c r="G56" s="63">
        <f t="shared" si="18"/>
        <v>53333.333333333336</v>
      </c>
      <c r="H56" s="63">
        <f t="shared" si="18"/>
        <v>56000</v>
      </c>
      <c r="I56" s="63">
        <f t="shared" si="18"/>
        <v>58666.66666666667</v>
      </c>
      <c r="J56" s="63">
        <f t="shared" si="18"/>
        <v>61333.333333333336</v>
      </c>
      <c r="K56" s="63">
        <f t="shared" si="18"/>
        <v>64000</v>
      </c>
      <c r="L56" s="63">
        <f t="shared" si="18"/>
        <v>66666.66666666667</v>
      </c>
    </row>
    <row r="57" spans="1:12" ht="12.75">
      <c r="A57" s="17" t="s">
        <v>45</v>
      </c>
      <c r="B57" s="71"/>
      <c r="C57" s="47">
        <f aca="true" t="shared" si="19" ref="C57:L57">C52</f>
        <v>0</v>
      </c>
      <c r="D57" s="47">
        <f t="shared" si="19"/>
        <v>0</v>
      </c>
      <c r="E57" s="47">
        <f t="shared" si="19"/>
        <v>0</v>
      </c>
      <c r="F57" s="47">
        <f t="shared" si="19"/>
        <v>0</v>
      </c>
      <c r="G57" s="47">
        <f t="shared" si="19"/>
        <v>0</v>
      </c>
      <c r="H57" s="47">
        <f t="shared" si="19"/>
        <v>0</v>
      </c>
      <c r="I57" s="47">
        <f t="shared" si="19"/>
        <v>0</v>
      </c>
      <c r="J57" s="47">
        <f t="shared" si="19"/>
        <v>0</v>
      </c>
      <c r="K57" s="47">
        <f t="shared" si="19"/>
        <v>0</v>
      </c>
      <c r="L57" s="47">
        <f t="shared" si="19"/>
        <v>0</v>
      </c>
    </row>
    <row r="58" spans="1:12" ht="12.75">
      <c r="A58" s="17" t="s">
        <v>46</v>
      </c>
      <c r="B58" s="71"/>
      <c r="C58" s="47">
        <f aca="true" t="shared" si="20" ref="C58:L58">C53</f>
        <v>120000</v>
      </c>
      <c r="D58" s="47">
        <f t="shared" si="20"/>
        <v>0</v>
      </c>
      <c r="E58" s="47">
        <f t="shared" si="20"/>
        <v>0</v>
      </c>
      <c r="F58" s="47">
        <f t="shared" si="20"/>
        <v>0</v>
      </c>
      <c r="G58" s="47">
        <f t="shared" si="20"/>
        <v>0</v>
      </c>
      <c r="H58" s="47">
        <f t="shared" si="20"/>
        <v>0</v>
      </c>
      <c r="I58" s="47">
        <f t="shared" si="20"/>
        <v>0</v>
      </c>
      <c r="J58" s="47">
        <f t="shared" si="20"/>
        <v>0</v>
      </c>
      <c r="K58" s="47">
        <f t="shared" si="20"/>
        <v>0</v>
      </c>
      <c r="L58" s="47">
        <f t="shared" si="20"/>
        <v>0</v>
      </c>
    </row>
    <row r="59" spans="1:12" ht="13.5" thickBot="1">
      <c r="A59" s="64" t="s">
        <v>50</v>
      </c>
      <c r="B59" s="76">
        <v>0</v>
      </c>
      <c r="C59" s="65">
        <f aca="true" t="shared" si="21" ref="C59:L59">C56+C57+C58</f>
        <v>82666.66666666666</v>
      </c>
      <c r="D59" s="65">
        <f t="shared" si="21"/>
        <v>45333.333333333336</v>
      </c>
      <c r="E59" s="65">
        <f t="shared" si="21"/>
        <v>48000</v>
      </c>
      <c r="F59" s="65">
        <f t="shared" si="21"/>
        <v>50666.66666666667</v>
      </c>
      <c r="G59" s="65">
        <f t="shared" si="21"/>
        <v>53333.333333333336</v>
      </c>
      <c r="H59" s="65">
        <f t="shared" si="21"/>
        <v>56000</v>
      </c>
      <c r="I59" s="65">
        <f t="shared" si="21"/>
        <v>58666.66666666667</v>
      </c>
      <c r="J59" s="65">
        <f t="shared" si="21"/>
        <v>61333.333333333336</v>
      </c>
      <c r="K59" s="65">
        <f t="shared" si="21"/>
        <v>64000</v>
      </c>
      <c r="L59" s="65">
        <f t="shared" si="21"/>
        <v>66666.66666666667</v>
      </c>
    </row>
    <row r="60" spans="1:12" ht="14.25" thickBot="1" thickTop="1">
      <c r="A60" s="68"/>
      <c r="B60" s="74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s="79" customFormat="1" ht="12" customHeight="1" thickBot="1" thickTop="1">
      <c r="A61" s="80" t="s">
        <v>89</v>
      </c>
      <c r="B61" s="77">
        <f aca="true" t="shared" si="22" ref="B61:L61">B23</f>
        <v>0</v>
      </c>
      <c r="C61" s="78">
        <f t="shared" si="22"/>
        <v>1</v>
      </c>
      <c r="D61" s="78">
        <f t="shared" si="22"/>
        <v>2</v>
      </c>
      <c r="E61" s="78">
        <f t="shared" si="22"/>
        <v>3</v>
      </c>
      <c r="F61" s="78">
        <f t="shared" si="22"/>
        <v>4</v>
      </c>
      <c r="G61" s="78">
        <f t="shared" si="22"/>
        <v>5</v>
      </c>
      <c r="H61" s="78">
        <f t="shared" si="22"/>
        <v>6</v>
      </c>
      <c r="I61" s="78">
        <f t="shared" si="22"/>
        <v>7</v>
      </c>
      <c r="J61" s="78">
        <f t="shared" si="22"/>
        <v>8</v>
      </c>
      <c r="K61" s="78">
        <f t="shared" si="22"/>
        <v>9</v>
      </c>
      <c r="L61" s="78">
        <f t="shared" si="22"/>
        <v>10</v>
      </c>
    </row>
    <row r="62" spans="1:12" ht="14.25" thickBot="1" thickTop="1">
      <c r="A62" s="53" t="s">
        <v>51</v>
      </c>
      <c r="B62" s="70">
        <f aca="true" t="shared" si="23" ref="B62:L62">B40-B59</f>
        <v>0</v>
      </c>
      <c r="C62" s="70">
        <f t="shared" si="23"/>
        <v>210536.39018952064</v>
      </c>
      <c r="D62" s="70">
        <f t="shared" si="23"/>
        <v>217336.39018952064</v>
      </c>
      <c r="E62" s="70">
        <f t="shared" si="23"/>
        <v>230803.0568561873</v>
      </c>
      <c r="F62" s="70">
        <f t="shared" si="23"/>
        <v>237603.0568561873</v>
      </c>
      <c r="G62" s="70">
        <f t="shared" si="23"/>
        <v>251069.72352285395</v>
      </c>
      <c r="H62" s="70">
        <f t="shared" si="23"/>
        <v>196133.33333333334</v>
      </c>
      <c r="I62" s="70">
        <f t="shared" si="23"/>
        <v>202933.3333333333</v>
      </c>
      <c r="J62" s="70">
        <f t="shared" si="23"/>
        <v>209733.33333333334</v>
      </c>
      <c r="K62" s="70">
        <f t="shared" si="23"/>
        <v>216533.33333333337</v>
      </c>
      <c r="L62" s="70">
        <f t="shared" si="23"/>
        <v>223333.3333333333</v>
      </c>
    </row>
    <row r="63" ht="14.25" thickBot="1" thickTop="1"/>
    <row r="64" spans="1:12" ht="14.25" thickBot="1" thickTop="1">
      <c r="A64" s="53" t="s">
        <v>4</v>
      </c>
      <c r="B64" s="82">
        <f aca="true" t="shared" si="24" ref="B64:L64">B23</f>
        <v>0</v>
      </c>
      <c r="C64" s="82">
        <f t="shared" si="24"/>
        <v>1</v>
      </c>
      <c r="D64" s="82">
        <f t="shared" si="24"/>
        <v>2</v>
      </c>
      <c r="E64" s="82">
        <f t="shared" si="24"/>
        <v>3</v>
      </c>
      <c r="F64" s="82">
        <f t="shared" si="24"/>
        <v>4</v>
      </c>
      <c r="G64" s="82">
        <f t="shared" si="24"/>
        <v>5</v>
      </c>
      <c r="H64" s="82">
        <f t="shared" si="24"/>
        <v>6</v>
      </c>
      <c r="I64" s="82">
        <f t="shared" si="24"/>
        <v>7</v>
      </c>
      <c r="J64" s="82">
        <f t="shared" si="24"/>
        <v>8</v>
      </c>
      <c r="K64" s="82">
        <f t="shared" si="24"/>
        <v>9</v>
      </c>
      <c r="L64" s="82">
        <f t="shared" si="24"/>
        <v>10</v>
      </c>
    </row>
    <row r="65" spans="1:12" ht="14.25" thickBot="1" thickTop="1">
      <c r="A65" s="53" t="s">
        <v>82</v>
      </c>
      <c r="B65" s="67">
        <f aca="true" t="shared" si="25" ref="B65:L65">SUM(B66:B67)</f>
        <v>926045.8528428095</v>
      </c>
      <c r="C65" s="67">
        <f t="shared" si="25"/>
        <v>0</v>
      </c>
      <c r="D65" s="67">
        <f t="shared" si="25"/>
        <v>0</v>
      </c>
      <c r="E65" s="67">
        <f t="shared" si="25"/>
        <v>0</v>
      </c>
      <c r="F65" s="67">
        <f t="shared" si="25"/>
        <v>0</v>
      </c>
      <c r="G65" s="67">
        <f t="shared" si="25"/>
        <v>0</v>
      </c>
      <c r="H65" s="67">
        <f t="shared" si="25"/>
        <v>0</v>
      </c>
      <c r="I65" s="67">
        <f t="shared" si="25"/>
        <v>0</v>
      </c>
      <c r="J65" s="67">
        <f t="shared" si="25"/>
        <v>0</v>
      </c>
      <c r="K65" s="67">
        <f t="shared" si="25"/>
        <v>0</v>
      </c>
      <c r="L65" s="67">
        <f t="shared" si="25"/>
        <v>0</v>
      </c>
    </row>
    <row r="66" spans="1:12" ht="13.5" thickTop="1">
      <c r="A66" s="17" t="s">
        <v>88</v>
      </c>
      <c r="B66" s="47">
        <f>Param!B10</f>
        <v>926045.8528428095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 ht="13.5" thickBot="1">
      <c r="A67" s="17" t="s">
        <v>91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</row>
    <row r="68" spans="1:12" ht="14.25" thickBot="1" thickTop="1">
      <c r="A68" s="53" t="s">
        <v>83</v>
      </c>
      <c r="B68" s="67">
        <f aca="true" t="shared" si="26" ref="B68:L68">SUM(B69:B72)</f>
        <v>0</v>
      </c>
      <c r="C68" s="67">
        <f t="shared" si="26"/>
        <v>210536.39018952064</v>
      </c>
      <c r="D68" s="67">
        <f t="shared" si="26"/>
        <v>217336.39018952064</v>
      </c>
      <c r="E68" s="67">
        <f t="shared" si="26"/>
        <v>230803.0568561873</v>
      </c>
      <c r="F68" s="67">
        <f t="shared" si="26"/>
        <v>237603.0568561873</v>
      </c>
      <c r="G68" s="67">
        <f t="shared" si="26"/>
        <v>251069.72352285395</v>
      </c>
      <c r="H68" s="67">
        <f t="shared" si="26"/>
        <v>196133.33333333334</v>
      </c>
      <c r="I68" s="67">
        <f t="shared" si="26"/>
        <v>202933.3333333333</v>
      </c>
      <c r="J68" s="67">
        <f t="shared" si="26"/>
        <v>209733.33333333334</v>
      </c>
      <c r="K68" s="67">
        <f t="shared" si="26"/>
        <v>216533.33333333337</v>
      </c>
      <c r="L68" s="67">
        <f t="shared" si="26"/>
        <v>352806.1137123746</v>
      </c>
    </row>
    <row r="69" spans="1:12" ht="13.5" thickTop="1">
      <c r="A69" s="17" t="s">
        <v>84</v>
      </c>
      <c r="B69" s="47">
        <f aca="true" t="shared" si="27" ref="B69:L69">B62</f>
        <v>0</v>
      </c>
      <c r="C69" s="47">
        <f t="shared" si="27"/>
        <v>210536.39018952064</v>
      </c>
      <c r="D69" s="47">
        <f t="shared" si="27"/>
        <v>217336.39018952064</v>
      </c>
      <c r="E69" s="47">
        <f t="shared" si="27"/>
        <v>230803.0568561873</v>
      </c>
      <c r="F69" s="47">
        <f t="shared" si="27"/>
        <v>237603.0568561873</v>
      </c>
      <c r="G69" s="47">
        <f t="shared" si="27"/>
        <v>251069.72352285395</v>
      </c>
      <c r="H69" s="47">
        <f t="shared" si="27"/>
        <v>196133.33333333334</v>
      </c>
      <c r="I69" s="47">
        <f t="shared" si="27"/>
        <v>202933.3333333333</v>
      </c>
      <c r="J69" s="47">
        <f t="shared" si="27"/>
        <v>209733.33333333334</v>
      </c>
      <c r="K69" s="47">
        <f t="shared" si="27"/>
        <v>216533.33333333337</v>
      </c>
      <c r="L69" s="47">
        <f t="shared" si="27"/>
        <v>223333.3333333333</v>
      </c>
    </row>
    <row r="70" spans="1:12" ht="12.75">
      <c r="A70" s="17" t="s">
        <v>86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>
        <f>Param!B27+Param!E27+Param!D27+Param!D27</f>
        <v>129472.78037904127</v>
      </c>
    </row>
    <row r="71" spans="1:12" ht="12.75">
      <c r="A71" s="17" t="s">
        <v>87</v>
      </c>
      <c r="B71" s="47">
        <v>0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2" ht="13.5" thickBot="1">
      <c r="A72" s="17" t="s">
        <v>85</v>
      </c>
      <c r="B72" s="37"/>
      <c r="C72" s="47"/>
      <c r="D72" s="47"/>
      <c r="E72" s="47"/>
      <c r="F72" s="47"/>
      <c r="G72" s="47"/>
      <c r="H72" s="47"/>
      <c r="I72" s="47"/>
      <c r="J72" s="47"/>
      <c r="K72" s="47"/>
      <c r="L72" s="47">
        <f>B67:L67</f>
        <v>0</v>
      </c>
    </row>
    <row r="73" spans="1:12" ht="14.25" thickBot="1" thickTop="1">
      <c r="A73" s="53" t="s">
        <v>90</v>
      </c>
      <c r="B73" s="84">
        <f aca="true" t="shared" si="28" ref="B73:L73">B68-B65</f>
        <v>-926045.8528428095</v>
      </c>
      <c r="C73" s="84">
        <f t="shared" si="28"/>
        <v>210536.39018952064</v>
      </c>
      <c r="D73" s="84">
        <f t="shared" si="28"/>
        <v>217336.39018952064</v>
      </c>
      <c r="E73" s="84">
        <f t="shared" si="28"/>
        <v>230803.0568561873</v>
      </c>
      <c r="F73" s="84">
        <f t="shared" si="28"/>
        <v>237603.0568561873</v>
      </c>
      <c r="G73" s="84">
        <f t="shared" si="28"/>
        <v>251069.72352285395</v>
      </c>
      <c r="H73" s="84">
        <f t="shared" si="28"/>
        <v>196133.33333333334</v>
      </c>
      <c r="I73" s="84">
        <f t="shared" si="28"/>
        <v>202933.3333333333</v>
      </c>
      <c r="J73" s="84">
        <f t="shared" si="28"/>
        <v>209733.33333333334</v>
      </c>
      <c r="K73" s="84">
        <f t="shared" si="28"/>
        <v>216533.33333333337</v>
      </c>
      <c r="L73" s="84">
        <f t="shared" si="28"/>
        <v>352806.1137123746</v>
      </c>
    </row>
    <row r="74" ht="13.5" thickTop="1"/>
    <row r="75" spans="1:5" ht="12.75">
      <c r="A75" s="31" t="s">
        <v>92</v>
      </c>
      <c r="B75" s="83">
        <f>Param!D3</f>
        <v>0.1</v>
      </c>
      <c r="C75" s="81"/>
      <c r="D75" s="31" t="s">
        <v>93</v>
      </c>
      <c r="E75" s="61">
        <f>NPV($B75,$C73,$D73,$E73,$F73,$G73,$H73,$I73,$J73,$K73,$L73)+$B73</f>
        <v>477098.58878879494</v>
      </c>
    </row>
    <row r="76" ht="12.75">
      <c r="B76" s="3"/>
    </row>
  </sheetData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scale="60" r:id="rId1"/>
  <headerFooter alignWithMargins="0">
    <oddHeader>&amp;CCas Fabien (Corrigé : J.F. Gueugnon)</oddHeader>
    <oddFooter>&amp;C&amp;A - Page &amp;P</oddFooter>
  </headerFooter>
  <rowBreaks count="1" manualBreakCount="1">
    <brk id="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Calcul</dc:creator>
  <cp:keywords/>
  <dc:description/>
  <cp:lastModifiedBy>Gueugnon</cp:lastModifiedBy>
  <cp:lastPrinted>2000-11-03T02:00:54Z</cp:lastPrinted>
  <dcterms:created xsi:type="dcterms:W3CDTF">2000-11-02T21:01:55Z</dcterms:created>
  <dcterms:modified xsi:type="dcterms:W3CDTF">2006-02-10T16:07:13Z</dcterms:modified>
  <cp:category/>
  <cp:version/>
  <cp:contentType/>
  <cp:contentStatus/>
</cp:coreProperties>
</file>