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9345" activeTab="1"/>
  </bookViews>
  <sheets>
    <sheet name="Charybde" sheetId="1" r:id="rId1"/>
    <sheet name="Scylla" sheetId="2" r:id="rId2"/>
    <sheet name="Feuil5" sheetId="3" r:id="rId3"/>
  </sheets>
  <definedNames>
    <definedName name="VAN" localSheetId="1">'Scylla'!#REF!</definedName>
    <definedName name="VAN">'Charybde'!#REF!</definedName>
  </definedNames>
  <calcPr fullCalcOnLoad="1"/>
</workbook>
</file>

<file path=xl/sharedStrings.xml><?xml version="1.0" encoding="utf-8"?>
<sst xmlns="http://schemas.openxmlformats.org/spreadsheetml/2006/main" count="96" uniqueCount="44">
  <si>
    <t>Taux d'intérêt nominal</t>
  </si>
  <si>
    <t>Année t</t>
  </si>
  <si>
    <t>Coût de la dette</t>
  </si>
  <si>
    <t>Flux financiers annuels</t>
  </si>
  <si>
    <t>Flux financiers actualisés</t>
  </si>
  <si>
    <t>Taux de rentabilité de la dette</t>
  </si>
  <si>
    <t>Point de vue du souscripteur</t>
  </si>
  <si>
    <t>Point de vue de l'émetteur</t>
  </si>
  <si>
    <t>Taux d'imposition du souscripteur</t>
  </si>
  <si>
    <t>Nombre de titres</t>
  </si>
  <si>
    <t>Valeur nominale du titre</t>
  </si>
  <si>
    <t>Taux d'imposition de l'émetteur</t>
  </si>
  <si>
    <t>Échéance (en années)</t>
  </si>
  <si>
    <t>Valeur relative (dite au pied du coupon)</t>
  </si>
  <si>
    <t>Frais à la charge du souscripteur</t>
  </si>
  <si>
    <t>Valeur de remboursement du titre</t>
  </si>
  <si>
    <t>Frais réels à la charge de l'émetteur</t>
  </si>
  <si>
    <t>Frais nominaux par titre à la charge de l'émetteur</t>
  </si>
  <si>
    <t>Frais réels par titre à la charge de l'émetteur</t>
  </si>
  <si>
    <t>Mode de remboursement (In fine : 0; Annuité cste=1)</t>
  </si>
  <si>
    <t>Taux de la prime de remboursement</t>
  </si>
  <si>
    <t>Montant nominal de la dette remboursée</t>
  </si>
  <si>
    <t>Frais financiers réels annuels</t>
  </si>
  <si>
    <t>Frais nominaux par titre à la charge du souscripteur</t>
  </si>
  <si>
    <t>Frais réels par titre à la charge du souscripteur</t>
  </si>
  <si>
    <t>Taux de frais nominal (à la charge de l'émetteur)</t>
  </si>
  <si>
    <t>Assiette des frais (montant effectif=1;montant nominal=0)</t>
  </si>
  <si>
    <t>Taux de frais effectif à la charge de l'émetteur</t>
  </si>
  <si>
    <t>Taux de frais effectif à la charge du souscripteur</t>
  </si>
  <si>
    <t>Prix unitaire de la dette</t>
  </si>
  <si>
    <t>Produits financiers</t>
  </si>
  <si>
    <t>Produit brut de l'émission</t>
  </si>
  <si>
    <t>Annuité constante par unité monétaire</t>
  </si>
  <si>
    <t>Montant de la souscription brute</t>
  </si>
  <si>
    <t>Primes de remboursement nominales</t>
  </si>
  <si>
    <t>Primes de remboursement réelles des titres</t>
  </si>
  <si>
    <t>Primes d'émission globales</t>
  </si>
  <si>
    <t>Prime d'émission unitaire</t>
  </si>
  <si>
    <t>Point de vue du souscripteur (encaissements&gt;0;décaissements&lt;0)</t>
  </si>
  <si>
    <t>Point de vue de l'émetteur (encaissements&gt;0;décaissements&lt;0)</t>
  </si>
  <si>
    <t>Valeur actuarielle de la dette financière</t>
  </si>
  <si>
    <t>Point de vue du souscripteur (encaissements&gt;0; décaissements &lt;0)</t>
  </si>
  <si>
    <t>Primes d'émission réelles</t>
  </si>
  <si>
    <t>Taux de frais nominal (à la charge du souscripteur)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</si>
</sst>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_-* #,##0.000\ _F_-;\-* #,##0.000\ _F_-;_-* &quot;-&quot;??\ _F_-;_-@_-"/>
    <numFmt numFmtId="178" formatCode="_-* #,##0.0000\ _F_-;\-* #,##0.0000\ _F_-;_-* &quot;-&quot;??\ _F_-;_-@_-"/>
    <numFmt numFmtId="179" formatCode="_-* #,##0.00000\ _F_-;\-* #,##0.00000\ _F_-;_-* &quot;-&quot;??\ _F_-;_-@_-"/>
    <numFmt numFmtId="180" formatCode="_-* #,##0.00000\ _F_-;\-* #,##0.00000\ _F_-;_-* &quot;-&quot;?????\ _F_-;_-@_-"/>
    <numFmt numFmtId="181" formatCode="0.0000000%"/>
    <numFmt numFmtId="182" formatCode="0.0"/>
    <numFmt numFmtId="183" formatCode="0.000"/>
    <numFmt numFmtId="184" formatCode="0.0000"/>
    <numFmt numFmtId="185" formatCode="0.00000"/>
    <numFmt numFmtId="186" formatCode="_-* #,##0.0\ _F_-;\-* #,##0.0\ _F_-;_-* &quot;-&quot;??\ _F_-;_-@_-"/>
    <numFmt numFmtId="187" formatCode="_-* #,##0\ _F_-;\-* #,##0\ _F_-;_-* &quot;-&quot;??\ _F_-;_-@_-"/>
    <numFmt numFmtId="188" formatCode="_-* #,##0.000000\ _F_-;\-* #,##0.000000\ _F_-;_-* &quot;-&quot;??\ _F_-;_-@_-"/>
    <numFmt numFmtId="189" formatCode="_-* #,##0.0000000\ _F_-;\-* #,##0.0000000\ _F_-;_-* &quot;-&quot;??\ _F_-;_-@_-"/>
    <numFmt numFmtId="190" formatCode="_-* #,##0.0000000\ _F_-;\-* #,##0.0000000\ _F_-;_-* &quot;-&quot;???????\ _F_-;_-@_-"/>
    <numFmt numFmtId="191" formatCode="#,##0_ ;\-#,##0\ "/>
    <numFmt numFmtId="192" formatCode="0.00000000%"/>
    <numFmt numFmtId="193" formatCode="0.000000000%"/>
    <numFmt numFmtId="194" formatCode="#,##0.00_ ;\-#,##0.00\ "/>
    <numFmt numFmtId="195" formatCode="_-* #,##0.00\ [$€-1]_-;\-* #,##0.00\ [$€-1]_-;_-* &quot;-&quot;??\ [$€-1]_-"/>
    <numFmt numFmtId="196" formatCode="_-* #,##0.000000\ _F_-;\-* #,##0.000000\ _F_-;_-* &quot;-&quot;??????\ _F_-;_-@_-"/>
    <numFmt numFmtId="197" formatCode="#,##0.00\ [$€-1];[Red]\-#,##0.00\ [$€-1]"/>
    <numFmt numFmtId="198" formatCode="0.00000000"/>
    <numFmt numFmtId="199" formatCode="0.0000000"/>
    <numFmt numFmtId="200" formatCode="0.000000"/>
    <numFmt numFmtId="201" formatCode="#,##0.000_ ;\-#,##0.000\ "/>
    <numFmt numFmtId="202" formatCode="#,##0.0_ ;\-#,##0.0\ "/>
    <numFmt numFmtId="203" formatCode="_-* #,##0.000\ [$€-1]_-;\-* #,##0.000\ [$€-1]_-;_-* &quot;-&quot;??\ [$€-1]_-"/>
    <numFmt numFmtId="204" formatCode="_-* #,##0.0000\ [$€-1]_-;\-* #,##0.0000\ [$€-1]_-;_-* &quot;-&quot;??\ [$€-1]_-"/>
    <numFmt numFmtId="205" formatCode="_-* #,##0.00000\ [$€-1]_-;\-* #,##0.00000\ [$€-1]_-;_-* &quot;-&quot;??\ [$€-1]_-"/>
    <numFmt numFmtId="206" formatCode="_-* #,##0.00\ [$€-1]_-;\-* #,##0.00\ [$€-1]_-;_-* &quot;-&quot;??\ [$€-1]_-;_-@_-"/>
    <numFmt numFmtId="207" formatCode="#,##0.00\ [$€-1];\-#,##0.00\ [$€-1]"/>
    <numFmt numFmtId="208" formatCode="_-* #,##0.0\ [$€-1]_-;\-* #,##0.0\ [$€-1]_-;_-* &quot;-&quot;??\ [$€-1]_-"/>
    <numFmt numFmtId="209" formatCode="_-* #,##0.000000\ [$€-1]_-;\-* #,##0.000000\ [$€-1]_-;_-* &quot;-&quot;??\ [$€-1]_-"/>
    <numFmt numFmtId="210" formatCode="_-* #,##0.0000000\ [$€-1]_-;\-* #,##0.0000000\ [$€-1]_-;_-* &quot;-&quot;??\ [$€-1]_-"/>
    <numFmt numFmtId="211" formatCode="#,##0.00\ &quot;€&quot;"/>
    <numFmt numFmtId="212" formatCode="#,##0.00000\ [$€-1];\-#,##0.00000\ [$€-1]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1" fontId="0" fillId="0" borderId="0" xfId="16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16" applyNumberFormat="1" applyFont="1" applyBorder="1" applyAlignment="1">
      <alignment horizontal="center"/>
    </xf>
    <xf numFmtId="0" fontId="1" fillId="0" borderId="7" xfId="16" applyNumberFormat="1" applyFont="1" applyBorder="1" applyAlignment="1">
      <alignment horizontal="center"/>
    </xf>
    <xf numFmtId="0" fontId="1" fillId="0" borderId="8" xfId="16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6" applyFont="1" applyBorder="1" applyAlignment="1">
      <alignment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9" xfId="16" applyFont="1" applyBorder="1" applyAlignment="1">
      <alignment horizontal="center"/>
    </xf>
    <xf numFmtId="171" fontId="0" fillId="0" borderId="10" xfId="16" applyFont="1" applyBorder="1" applyAlignment="1">
      <alignment horizontal="center"/>
    </xf>
    <xf numFmtId="171" fontId="0" fillId="0" borderId="11" xfId="16" applyFont="1" applyBorder="1" applyAlignment="1">
      <alignment horizontal="center"/>
    </xf>
    <xf numFmtId="171" fontId="0" fillId="0" borderId="12" xfId="16" applyFont="1" applyBorder="1" applyAlignment="1">
      <alignment horizontal="center"/>
    </xf>
    <xf numFmtId="171" fontId="0" fillId="0" borderId="13" xfId="16" applyFont="1" applyBorder="1" applyAlignment="1">
      <alignment horizontal="center"/>
    </xf>
    <xf numFmtId="171" fontId="0" fillId="0" borderId="14" xfId="16" applyFont="1" applyBorder="1" applyAlignment="1">
      <alignment horizontal="center"/>
    </xf>
    <xf numFmtId="171" fontId="0" fillId="0" borderId="15" xfId="16" applyFont="1" applyBorder="1" applyAlignment="1">
      <alignment horizontal="center"/>
    </xf>
    <xf numFmtId="171" fontId="0" fillId="0" borderId="16" xfId="16" applyFont="1" applyBorder="1" applyAlignment="1">
      <alignment horizontal="center"/>
    </xf>
    <xf numFmtId="171" fontId="0" fillId="0" borderId="17" xfId="16" applyFont="1" applyBorder="1" applyAlignment="1">
      <alignment horizontal="center"/>
    </xf>
    <xf numFmtId="171" fontId="0" fillId="0" borderId="18" xfId="16" applyFont="1" applyBorder="1" applyAlignment="1">
      <alignment horizontal="center"/>
    </xf>
    <xf numFmtId="191" fontId="1" fillId="0" borderId="8" xfId="16" applyNumberFormat="1" applyFont="1" applyBorder="1" applyAlignment="1">
      <alignment horizontal="center"/>
    </xf>
    <xf numFmtId="191" fontId="1" fillId="0" borderId="6" xfId="16" applyNumberFormat="1" applyFont="1" applyBorder="1" applyAlignment="1">
      <alignment horizontal="center"/>
    </xf>
    <xf numFmtId="191" fontId="1" fillId="0" borderId="7" xfId="16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" fillId="0" borderId="15" xfId="16" applyFont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0" xfId="16" applyAlignment="1">
      <alignment horizontal="center"/>
    </xf>
    <xf numFmtId="176" fontId="0" fillId="0" borderId="0" xfId="20" applyNumberFormat="1" applyAlignment="1">
      <alignment horizontal="center"/>
    </xf>
    <xf numFmtId="175" fontId="0" fillId="0" borderId="0" xfId="20" applyNumberFormat="1" applyAlignment="1">
      <alignment horizontal="center"/>
    </xf>
    <xf numFmtId="0" fontId="0" fillId="0" borderId="0" xfId="16" applyNumberFormat="1" applyAlignment="1">
      <alignment horizontal="center"/>
    </xf>
    <xf numFmtId="9" fontId="0" fillId="0" borderId="0" xfId="16" applyNumberFormat="1" applyAlignment="1">
      <alignment horizontal="center"/>
    </xf>
    <xf numFmtId="194" fontId="0" fillId="0" borderId="0" xfId="16" applyNumberFormat="1" applyAlignment="1">
      <alignment horizontal="center"/>
    </xf>
    <xf numFmtId="191" fontId="0" fillId="0" borderId="0" xfId="16" applyNumberFormat="1" applyAlignment="1">
      <alignment horizontal="center"/>
    </xf>
    <xf numFmtId="187" fontId="0" fillId="0" borderId="0" xfId="16" applyNumberFormat="1" applyAlignment="1">
      <alignment horizontal="center"/>
    </xf>
    <xf numFmtId="1" fontId="0" fillId="0" borderId="0" xfId="16" applyNumberFormat="1" applyFont="1" applyAlignment="1">
      <alignment horizontal="center"/>
    </xf>
    <xf numFmtId="9" fontId="0" fillId="0" borderId="0" xfId="20" applyNumberFormat="1" applyAlignment="1">
      <alignment horizontal="center"/>
    </xf>
    <xf numFmtId="10" fontId="0" fillId="0" borderId="0" xfId="16" applyNumberFormat="1" applyAlignment="1">
      <alignment horizontal="center"/>
    </xf>
    <xf numFmtId="173" fontId="0" fillId="0" borderId="0" xfId="20" applyNumberFormat="1" applyAlignment="1">
      <alignment/>
    </xf>
    <xf numFmtId="171" fontId="0" fillId="0" borderId="16" xfId="16" applyBorder="1" applyAlignment="1">
      <alignment horizontal="center"/>
    </xf>
    <xf numFmtId="171" fontId="0" fillId="0" borderId="14" xfId="16" applyBorder="1" applyAlignment="1">
      <alignment horizontal="center"/>
    </xf>
    <xf numFmtId="171" fontId="0" fillId="0" borderId="0" xfId="16" applyBorder="1" applyAlignment="1">
      <alignment/>
    </xf>
    <xf numFmtId="171" fontId="0" fillId="0" borderId="0" xfId="16" applyAlignment="1">
      <alignment/>
    </xf>
    <xf numFmtId="191" fontId="1" fillId="0" borderId="19" xfId="16" applyNumberFormat="1" applyFont="1" applyBorder="1" applyAlignment="1">
      <alignment horizontal="center"/>
    </xf>
    <xf numFmtId="0" fontId="1" fillId="0" borderId="9" xfId="16" applyNumberFormat="1" applyFont="1" applyBorder="1" applyAlignment="1">
      <alignment horizontal="center"/>
    </xf>
    <xf numFmtId="0" fontId="1" fillId="0" borderId="19" xfId="16" applyNumberFormat="1" applyFont="1" applyBorder="1" applyAlignment="1">
      <alignment horizontal="center"/>
    </xf>
    <xf numFmtId="191" fontId="1" fillId="0" borderId="20" xfId="16" applyNumberFormat="1" applyFont="1" applyBorder="1" applyAlignment="1">
      <alignment horizontal="center"/>
    </xf>
    <xf numFmtId="205" fontId="0" fillId="0" borderId="0" xfId="15" applyNumberFormat="1" applyAlignment="1">
      <alignment/>
    </xf>
    <xf numFmtId="175" fontId="1" fillId="0" borderId="0" xfId="16" applyNumberFormat="1" applyFont="1" applyAlignment="1">
      <alignment horizontal="center"/>
    </xf>
    <xf numFmtId="43" fontId="0" fillId="0" borderId="0" xfId="0" applyNumberFormat="1" applyAlignment="1">
      <alignment/>
    </xf>
    <xf numFmtId="171" fontId="0" fillId="0" borderId="9" xfId="16" applyBorder="1" applyAlignment="1">
      <alignment horizontal="center"/>
    </xf>
    <xf numFmtId="171" fontId="0" fillId="0" borderId="10" xfId="16" applyBorder="1" applyAlignment="1">
      <alignment horizontal="center"/>
    </xf>
    <xf numFmtId="195" fontId="1" fillId="0" borderId="17" xfId="15" applyFont="1" applyBorder="1" applyAlignment="1">
      <alignment horizontal="center"/>
    </xf>
    <xf numFmtId="0" fontId="1" fillId="0" borderId="3" xfId="0" applyNumberFormat="1" applyFont="1" applyBorder="1" applyAlignment="1">
      <alignment/>
    </xf>
    <xf numFmtId="0" fontId="0" fillId="0" borderId="18" xfId="16" applyNumberFormat="1" applyBorder="1" applyAlignment="1">
      <alignment/>
    </xf>
    <xf numFmtId="0" fontId="0" fillId="0" borderId="21" xfId="16" applyNumberFormat="1" applyBorder="1" applyAlignment="1">
      <alignment/>
    </xf>
    <xf numFmtId="174" fontId="1" fillId="0" borderId="22" xfId="20" applyNumberFormat="1" applyFont="1" applyBorder="1" applyAlignment="1">
      <alignment horizontal="center"/>
    </xf>
    <xf numFmtId="0" fontId="1" fillId="0" borderId="23" xfId="0" applyNumberFormat="1" applyFont="1" applyBorder="1" applyAlignment="1">
      <alignment/>
    </xf>
    <xf numFmtId="0" fontId="0" fillId="0" borderId="24" xfId="16" applyNumberFormat="1" applyBorder="1" applyAlignment="1">
      <alignment/>
    </xf>
    <xf numFmtId="0" fontId="0" fillId="0" borderId="25" xfId="16" applyNumberFormat="1" applyBorder="1" applyAlignment="1">
      <alignment/>
    </xf>
    <xf numFmtId="174" fontId="1" fillId="0" borderId="26" xfId="20" applyNumberFormat="1" applyFont="1" applyBorder="1" applyAlignment="1">
      <alignment horizontal="center"/>
    </xf>
    <xf numFmtId="195" fontId="1" fillId="0" borderId="15" xfId="15" applyFont="1" applyBorder="1" applyAlignment="1">
      <alignment horizontal="center"/>
    </xf>
    <xf numFmtId="211" fontId="0" fillId="0" borderId="0" xfId="15" applyNumberFormat="1" applyAlignment="1">
      <alignment horizontal="center"/>
    </xf>
    <xf numFmtId="211" fontId="0" fillId="0" borderId="0" xfId="0" applyNumberFormat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171" fontId="0" fillId="0" borderId="28" xfId="16" applyBorder="1" applyAlignment="1">
      <alignment/>
    </xf>
    <xf numFmtId="171" fontId="0" fillId="0" borderId="29" xfId="16" applyFont="1" applyBorder="1" applyAlignment="1">
      <alignment horizontal="center"/>
    </xf>
    <xf numFmtId="191" fontId="1" fillId="0" borderId="30" xfId="16" applyNumberFormat="1" applyFont="1" applyBorder="1" applyAlignment="1">
      <alignment horizontal="center"/>
    </xf>
    <xf numFmtId="191" fontId="1" fillId="0" borderId="31" xfId="16" applyNumberFormat="1" applyFont="1" applyBorder="1" applyAlignment="1">
      <alignment horizontal="center"/>
    </xf>
    <xf numFmtId="191" fontId="0" fillId="0" borderId="32" xfId="16" applyNumberFormat="1" applyFont="1" applyBorder="1" applyAlignment="1">
      <alignment horizontal="center"/>
    </xf>
    <xf numFmtId="171" fontId="0" fillId="0" borderId="32" xfId="16" applyFont="1" applyBorder="1" applyAlignment="1">
      <alignment horizontal="center"/>
    </xf>
    <xf numFmtId="171" fontId="0" fillId="0" borderId="2" xfId="16" applyFont="1" applyBorder="1" applyAlignment="1">
      <alignment horizontal="center"/>
    </xf>
    <xf numFmtId="171" fontId="0" fillId="0" borderId="33" xfId="16" applyFont="1" applyBorder="1" applyAlignment="1">
      <alignment horizontal="center"/>
    </xf>
    <xf numFmtId="171" fontId="0" fillId="0" borderId="34" xfId="16" applyFont="1" applyBorder="1" applyAlignment="1">
      <alignment horizontal="center"/>
    </xf>
    <xf numFmtId="175" fontId="1" fillId="0" borderId="22" xfId="16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1" fontId="1" fillId="0" borderId="2" xfId="0" applyNumberFormat="1" applyFont="1" applyBorder="1" applyAlignment="1">
      <alignment/>
    </xf>
    <xf numFmtId="171" fontId="0" fillId="0" borderId="4" xfId="16" applyFont="1" applyBorder="1" applyAlignment="1">
      <alignment horizontal="center"/>
    </xf>
    <xf numFmtId="171" fontId="0" fillId="0" borderId="5" xfId="16" applyFont="1" applyBorder="1" applyAlignment="1">
      <alignment horizontal="center"/>
    </xf>
    <xf numFmtId="171" fontId="1" fillId="0" borderId="5" xfId="16" applyFont="1" applyBorder="1" applyAlignment="1">
      <alignment horizontal="center"/>
    </xf>
    <xf numFmtId="195" fontId="1" fillId="0" borderId="2" xfId="15" applyFont="1" applyBorder="1" applyAlignment="1">
      <alignment horizontal="center"/>
    </xf>
    <xf numFmtId="195" fontId="1" fillId="0" borderId="2" xfId="15" applyNumberFormat="1" applyFont="1" applyBorder="1" applyAlignment="1">
      <alignment horizontal="center"/>
    </xf>
    <xf numFmtId="207" fontId="1" fillId="0" borderId="2" xfId="15" applyNumberFormat="1" applyFont="1" applyBorder="1" applyAlignment="1">
      <alignment horizontal="center"/>
    </xf>
    <xf numFmtId="174" fontId="1" fillId="0" borderId="3" xfId="20" applyNumberFormat="1" applyFont="1" applyBorder="1" applyAlignment="1">
      <alignment horizontal="center"/>
    </xf>
    <xf numFmtId="175" fontId="1" fillId="0" borderId="1" xfId="16" applyNumberFormat="1" applyFont="1" applyBorder="1" applyAlignment="1">
      <alignment horizontal="center"/>
    </xf>
    <xf numFmtId="212" fontId="0" fillId="0" borderId="0" xfId="15" applyNumberFormat="1" applyAlignment="1">
      <alignment horizontal="center"/>
    </xf>
    <xf numFmtId="195" fontId="1" fillId="0" borderId="5" xfId="15" applyFont="1" applyBorder="1" applyAlignment="1">
      <alignment horizontal="center"/>
    </xf>
    <xf numFmtId="174" fontId="1" fillId="0" borderId="23" xfId="20" applyNumberFormat="1" applyFont="1" applyBorder="1" applyAlignment="1">
      <alignment horizontal="center"/>
    </xf>
    <xf numFmtId="191" fontId="1" fillId="0" borderId="1" xfId="16" applyNumberFormat="1" applyFont="1" applyBorder="1" applyAlignment="1">
      <alignment horizontal="center"/>
    </xf>
    <xf numFmtId="191" fontId="0" fillId="0" borderId="2" xfId="16" applyNumberFormat="1" applyFont="1" applyBorder="1" applyAlignment="1">
      <alignment horizontal="center"/>
    </xf>
    <xf numFmtId="171" fontId="0" fillId="0" borderId="3" xfId="16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9">
      <selection activeCell="B47" sqref="B47"/>
    </sheetView>
  </sheetViews>
  <sheetFormatPr defaultColWidth="12" defaultRowHeight="12.75"/>
  <cols>
    <col min="1" max="1" width="60" style="0" bestFit="1" customWidth="1"/>
    <col min="2" max="2" width="18.66015625" style="0" bestFit="1" customWidth="1"/>
    <col min="3" max="3" width="15.66015625" style="0" bestFit="1" customWidth="1"/>
    <col min="4" max="5" width="16.33203125" style="0" bestFit="1" customWidth="1"/>
    <col min="6" max="6" width="17.5" style="0" bestFit="1" customWidth="1"/>
    <col min="7" max="7" width="18.66015625" style="0" bestFit="1" customWidth="1"/>
    <col min="8" max="16384" width="53.5" style="0" customWidth="1"/>
  </cols>
  <sheetData>
    <row r="1" spans="1:5" ht="12.75">
      <c r="A1" t="s">
        <v>9</v>
      </c>
      <c r="B1" s="32">
        <v>100000</v>
      </c>
      <c r="D1" s="2" t="s">
        <v>6</v>
      </c>
      <c r="E1" s="32"/>
    </row>
    <row r="2" spans="1:7" ht="12.75">
      <c r="A2" t="s">
        <v>10</v>
      </c>
      <c r="B2" s="32">
        <v>800</v>
      </c>
      <c r="D2" t="s">
        <v>26</v>
      </c>
      <c r="G2" s="40">
        <v>1</v>
      </c>
    </row>
    <row r="3" spans="1:7" ht="12.75">
      <c r="A3" t="s">
        <v>31</v>
      </c>
      <c r="B3" s="32">
        <f>B$1*$B$2</f>
        <v>80000000</v>
      </c>
      <c r="D3" t="s">
        <v>43</v>
      </c>
      <c r="G3" s="34">
        <v>0</v>
      </c>
    </row>
    <row r="4" spans="1:7" ht="12.75">
      <c r="A4" t="s">
        <v>0</v>
      </c>
      <c r="B4" s="33">
        <v>0.1</v>
      </c>
      <c r="D4" t="s">
        <v>8</v>
      </c>
      <c r="G4" s="42">
        <v>0</v>
      </c>
    </row>
    <row r="5" spans="1:7" ht="12.75">
      <c r="A5" t="s">
        <v>5</v>
      </c>
      <c r="B5" s="34">
        <v>0.11</v>
      </c>
      <c r="D5" t="s">
        <v>28</v>
      </c>
      <c r="G5" s="33">
        <f>G$3*(1-$G$4)/(1-($G$2*G$3))</f>
        <v>0</v>
      </c>
    </row>
    <row r="6" spans="1:7" ht="12.75">
      <c r="A6" t="s">
        <v>12</v>
      </c>
      <c r="B6" s="35">
        <v>5</v>
      </c>
      <c r="D6" t="s">
        <v>23</v>
      </c>
      <c r="G6" s="67">
        <f>G5*B2</f>
        <v>0</v>
      </c>
    </row>
    <row r="7" spans="1:7" ht="12.75">
      <c r="A7" t="s">
        <v>20</v>
      </c>
      <c r="B7" s="36">
        <v>0.06</v>
      </c>
      <c r="D7" t="s">
        <v>24</v>
      </c>
      <c r="G7" s="67">
        <f>G6*(1-G4)</f>
        <v>0</v>
      </c>
    </row>
    <row r="8" spans="1:7" ht="12.75">
      <c r="A8" t="s">
        <v>15</v>
      </c>
      <c r="B8" s="37">
        <f>$B$2*(1+$B$7)</f>
        <v>848</v>
      </c>
      <c r="E8" s="32"/>
      <c r="G8" s="68"/>
    </row>
    <row r="9" spans="1:5" ht="12.75">
      <c r="A9" t="s">
        <v>19</v>
      </c>
      <c r="B9" s="38">
        <v>0</v>
      </c>
      <c r="D9" s="2" t="s">
        <v>7</v>
      </c>
      <c r="E9" s="29"/>
    </row>
    <row r="10" spans="1:7" ht="12.75">
      <c r="A10" t="s">
        <v>32</v>
      </c>
      <c r="B10" s="91">
        <f>(B4/(1-((1+B4)^-B6)))</f>
        <v>0.26379748079474524</v>
      </c>
      <c r="C10" s="5"/>
      <c r="D10" t="s">
        <v>26</v>
      </c>
      <c r="G10" s="40">
        <v>1</v>
      </c>
    </row>
    <row r="11" spans="2:7" ht="12.75">
      <c r="B11" s="39"/>
      <c r="D11" t="s">
        <v>25</v>
      </c>
      <c r="G11" s="34">
        <v>0.03</v>
      </c>
    </row>
    <row r="12" spans="4:7" ht="12.75">
      <c r="D12" t="s">
        <v>11</v>
      </c>
      <c r="G12" s="41">
        <v>0.4</v>
      </c>
    </row>
    <row r="13" spans="4:7" ht="12.75">
      <c r="D13" t="s">
        <v>27</v>
      </c>
      <c r="G13" s="33">
        <f>G$11/(1-($G$10*G$11))</f>
        <v>0.030927835051546393</v>
      </c>
    </row>
    <row r="14" spans="4:7" ht="12.75">
      <c r="D14" t="s">
        <v>17</v>
      </c>
      <c r="F14" s="14"/>
      <c r="G14" s="37">
        <f>G13*B2</f>
        <v>24.742268041237114</v>
      </c>
    </row>
    <row r="15" spans="4:7" ht="12.75">
      <c r="D15" t="s">
        <v>18</v>
      </c>
      <c r="F15" s="14"/>
      <c r="G15" s="37">
        <f>G14*(1-$G$12)</f>
        <v>14.845360824742269</v>
      </c>
    </row>
    <row r="16" spans="2:7" ht="12.75">
      <c r="B16" s="53"/>
      <c r="C16" s="54"/>
      <c r="D16" s="54"/>
      <c r="E16" s="54"/>
      <c r="F16" s="54"/>
      <c r="G16" s="54"/>
    </row>
    <row r="17" spans="1:2" ht="13.5" thickBot="1">
      <c r="A17" s="2" t="s">
        <v>38</v>
      </c>
      <c r="B17" s="43"/>
    </row>
    <row r="18" spans="1:7" ht="14.25" thickBot="1" thickTop="1">
      <c r="A18" s="3" t="s">
        <v>1</v>
      </c>
      <c r="B18" s="81">
        <v>0</v>
      </c>
      <c r="C18" s="11">
        <v>1</v>
      </c>
      <c r="D18" s="9">
        <v>2</v>
      </c>
      <c r="E18" s="9">
        <v>3</v>
      </c>
      <c r="F18" s="9">
        <v>4</v>
      </c>
      <c r="G18" s="10">
        <v>5</v>
      </c>
    </row>
    <row r="19" spans="1:7" ht="13.5" thickTop="1">
      <c r="A19" s="4" t="s">
        <v>33</v>
      </c>
      <c r="B19" s="82">
        <f>-B3</f>
        <v>-80000000</v>
      </c>
      <c r="C19" s="49"/>
      <c r="D19" s="49"/>
      <c r="E19" s="49"/>
      <c r="F19" s="49"/>
      <c r="G19" s="50"/>
    </row>
    <row r="20" spans="1:8" ht="12.75">
      <c r="A20" s="4" t="s">
        <v>30</v>
      </c>
      <c r="B20" s="77">
        <v>0</v>
      </c>
      <c r="C20" s="16">
        <f>$B$4*($B$3-SUM($B$21:B21))*(1-$G$4)</f>
        <v>8000000</v>
      </c>
      <c r="D20" s="16">
        <f>$B$4*($B$3-SUM($B$21:C21))*(1-$G$4)</f>
        <v>8000000</v>
      </c>
      <c r="E20" s="16">
        <f>$B$4*($B$3-SUM($B$21:D21))*(1-$G$4)</f>
        <v>8000000</v>
      </c>
      <c r="F20" s="16">
        <f>$B$4*($B$3-SUM($B$21:E21))*(1-$G$4)</f>
        <v>8000000</v>
      </c>
      <c r="G20" s="24">
        <f>$B$4*($B$3-SUM($B$21:F21))*(1-$G$4)</f>
        <v>8000000</v>
      </c>
      <c r="H20" s="15"/>
    </row>
    <row r="21" spans="1:8" ht="12.75">
      <c r="A21" s="4" t="s">
        <v>21</v>
      </c>
      <c r="B21" s="77">
        <v>0</v>
      </c>
      <c r="C21" s="16">
        <f>IF($B$9=0,IF(C18=$B$6,$B$2*$B$1,0),(IF(C18=$B$6,$B$2*$B$1-SUM($B$21:B21),ROUND(((($B$10*$B$1*$B$2)-C20)/$B$2),0)*$B$2)))</f>
        <v>0</v>
      </c>
      <c r="D21" s="16">
        <f>IF($B$9=0,IF(D18=$B$6,$B$2*$B$1,0),(IF(D18=$B$6,$B$2*$B$1-SUM($B$21:C21),ROUND(((($B$10*$B$1*$B$2)-D20)/$B$2),0)*$B$2)))</f>
        <v>0</v>
      </c>
      <c r="E21" s="16">
        <f>IF($B$9=0,IF(E18=$B$6,$B$2*$B$1,0),(IF(E18=$B$6,$B$2*$B$1-SUM($B$21:D21),ROUND(((($B$10*$B$1*$B$2)-E20)/$B$2),0)*$B$2)))</f>
        <v>0</v>
      </c>
      <c r="F21" s="16">
        <f>IF($B$9=0,IF(F18=$B$6,$B$2*$B$1,0),(IF(F18=$B$6,$B$2*$B$1-SUM($B$21:E21),ROUND(((($B$10*$B$1*$B$2)-F20)/$B$2),0)*$B$2)))</f>
        <v>0</v>
      </c>
      <c r="G21" s="24">
        <f>IF($B$9=0,IF(G18=$B$6,$B$2*$B$1,0),(IF(G18=$B$6,$B$2*$B$1-SUM($B$21:F21),ROUND(((($B$10*$B$1*$B$2)-G20)/$B$2),0)*$B$2)))</f>
        <v>80000000</v>
      </c>
      <c r="H21" s="31"/>
    </row>
    <row r="22" spans="1:7" ht="12.75">
      <c r="A22" s="4" t="s">
        <v>34</v>
      </c>
      <c r="B22" s="77">
        <v>0</v>
      </c>
      <c r="C22" s="16">
        <f>$B$7*(1-$G$4)*C$21</f>
        <v>0</v>
      </c>
      <c r="D22" s="17">
        <f>$B$7*(1-$G$4)*D$21</f>
        <v>0</v>
      </c>
      <c r="E22" s="17">
        <f>$B$7*(1-$G$4)*E$21</f>
        <v>0</v>
      </c>
      <c r="F22" s="17">
        <f>$B$7*(1-$G$4)*F$21</f>
        <v>0</v>
      </c>
      <c r="G22" s="24">
        <f>$B$7*(1-$G$4)*G$21</f>
        <v>4800000</v>
      </c>
    </row>
    <row r="23" spans="1:7" ht="13.5" thickBot="1">
      <c r="A23" s="7" t="s">
        <v>14</v>
      </c>
      <c r="B23" s="83">
        <f>G7</f>
        <v>0</v>
      </c>
      <c r="C23" s="18">
        <v>0</v>
      </c>
      <c r="D23" s="19">
        <v>0</v>
      </c>
      <c r="E23" s="19">
        <v>0</v>
      </c>
      <c r="F23" s="19">
        <v>0</v>
      </c>
      <c r="G23" s="20">
        <v>0</v>
      </c>
    </row>
    <row r="24" spans="1:7" ht="13.5" thickBot="1">
      <c r="A24" s="8" t="s">
        <v>3</v>
      </c>
      <c r="B24" s="84">
        <f>B20+B23+B21</f>
        <v>0</v>
      </c>
      <c r="C24" s="23">
        <f>SUM(C20:C22)-C23</f>
        <v>8000000</v>
      </c>
      <c r="D24" s="21">
        <f>SUM(D20:D22)-D23</f>
        <v>8000000</v>
      </c>
      <c r="E24" s="21">
        <f>SUM(E20:E22)-E23</f>
        <v>8000000</v>
      </c>
      <c r="F24" s="21">
        <f>SUM(F20:F22)-F23</f>
        <v>8000000</v>
      </c>
      <c r="G24" s="22">
        <f>SUM(G20:G22)-G23</f>
        <v>92800000</v>
      </c>
    </row>
    <row r="25" spans="1:7" ht="13.5" thickBot="1">
      <c r="A25" s="8" t="s">
        <v>4</v>
      </c>
      <c r="B25" s="84">
        <f aca="true" t="shared" si="0" ref="B25:G25">B24/((1+$B$5)^B$18)</f>
        <v>0</v>
      </c>
      <c r="C25" s="23">
        <f t="shared" si="0"/>
        <v>7207207.207207207</v>
      </c>
      <c r="D25" s="21">
        <f t="shared" si="0"/>
        <v>6492979.465952438</v>
      </c>
      <c r="E25" s="21">
        <f t="shared" si="0"/>
        <v>5849531.0504076015</v>
      </c>
      <c r="F25" s="21">
        <f t="shared" si="0"/>
        <v>5269847.793160001</v>
      </c>
      <c r="G25" s="22">
        <f t="shared" si="0"/>
        <v>55072283.24383424</v>
      </c>
    </row>
    <row r="26" spans="1:7" ht="13.5" thickBot="1">
      <c r="A26" s="8" t="s">
        <v>40</v>
      </c>
      <c r="B26" s="85">
        <f>SUM($C$25:$G$25)</f>
        <v>79891848.7605615</v>
      </c>
      <c r="C26" s="44"/>
      <c r="D26" s="45"/>
      <c r="E26" s="45"/>
      <c r="F26" s="45"/>
      <c r="G26" s="30"/>
    </row>
    <row r="27" spans="1:7" ht="13.5" thickBot="1">
      <c r="A27" s="8" t="s">
        <v>29</v>
      </c>
      <c r="B27" s="92">
        <f>B$26/$B$1</f>
        <v>798.9184876056149</v>
      </c>
      <c r="C27" s="44"/>
      <c r="D27" s="45"/>
      <c r="E27" s="45"/>
      <c r="F27" s="45"/>
      <c r="G27" s="66"/>
    </row>
    <row r="28" spans="1:7" ht="12.75">
      <c r="A28" s="4" t="s">
        <v>36</v>
      </c>
      <c r="B28" s="86">
        <f>MAX(0,-(B19+B26))</f>
        <v>108151.23943850398</v>
      </c>
      <c r="C28" s="55"/>
      <c r="D28" s="56"/>
      <c r="E28" s="56"/>
      <c r="F28" s="56"/>
      <c r="G28" s="57"/>
    </row>
    <row r="29" spans="1:7" ht="12.75">
      <c r="A29" s="4" t="s">
        <v>37</v>
      </c>
      <c r="B29" s="87">
        <f>B28/$B$1</f>
        <v>1.0815123943850398</v>
      </c>
      <c r="C29" s="55"/>
      <c r="D29" s="56"/>
      <c r="E29" s="56"/>
      <c r="F29" s="56"/>
      <c r="G29" s="57"/>
    </row>
    <row r="30" spans="1:7" ht="13.5" thickBot="1">
      <c r="A30" s="62" t="s">
        <v>13</v>
      </c>
      <c r="B30" s="93">
        <f>B$27/$B$2</f>
        <v>0.9986481095070187</v>
      </c>
      <c r="C30" s="63"/>
      <c r="D30" s="64"/>
      <c r="E30" s="64"/>
      <c r="F30" s="64"/>
      <c r="G30" s="65"/>
    </row>
    <row r="31" spans="1:7" ht="13.5" thickTop="1">
      <c r="A31" s="12"/>
      <c r="B31" s="12"/>
      <c r="C31" s="46"/>
      <c r="D31" s="46"/>
      <c r="E31" s="46"/>
      <c r="F31" s="46"/>
      <c r="G31" s="13"/>
    </row>
    <row r="32" spans="1:7" ht="13.5" thickBot="1">
      <c r="A32" s="1" t="s">
        <v>39</v>
      </c>
      <c r="B32" s="1"/>
      <c r="C32" s="47"/>
      <c r="D32" s="47"/>
      <c r="E32" s="47"/>
      <c r="F32" s="47"/>
      <c r="G32" s="47"/>
    </row>
    <row r="33" spans="1:7" ht="14.25" thickBot="1" thickTop="1">
      <c r="A33" s="3" t="s">
        <v>1</v>
      </c>
      <c r="B33" s="94">
        <v>0</v>
      </c>
      <c r="C33" s="26">
        <f>C18</f>
        <v>1</v>
      </c>
      <c r="D33" s="27">
        <f>D18</f>
        <v>2</v>
      </c>
      <c r="E33" s="27">
        <f>E18</f>
        <v>3</v>
      </c>
      <c r="F33" s="27">
        <f>F18</f>
        <v>4</v>
      </c>
      <c r="G33" s="28">
        <f>G18</f>
        <v>5</v>
      </c>
    </row>
    <row r="34" spans="1:7" ht="13.5" thickTop="1">
      <c r="A34" s="4" t="s">
        <v>31</v>
      </c>
      <c r="B34" s="95">
        <f>B3</f>
        <v>80000000</v>
      </c>
      <c r="C34" s="73"/>
      <c r="D34" s="51"/>
      <c r="E34" s="51"/>
      <c r="F34" s="51"/>
      <c r="G34" s="48"/>
    </row>
    <row r="35" spans="1:7" ht="12.75">
      <c r="A35" s="4" t="s">
        <v>22</v>
      </c>
      <c r="B35" s="77">
        <v>0</v>
      </c>
      <c r="C35" s="16">
        <f>-$B$4*($B$3+SUM($B$36:B36))*(1-$G$12)</f>
        <v>-4800000</v>
      </c>
      <c r="D35" s="17">
        <f>-$B$4*($B$3+SUM($B$36:C36))*(1-$G$12)</f>
        <v>-4800000</v>
      </c>
      <c r="E35" s="17">
        <f>-$B$4*($B$3+SUM($B$36:D36))*(1-$G$12)</f>
        <v>-4800000</v>
      </c>
      <c r="F35" s="17">
        <f>-$B$4*($B$3+SUM($B$36:E36))*(1-$G$12)</f>
        <v>-4800000</v>
      </c>
      <c r="G35" s="24">
        <f>-$B$4*($B$3+SUM($B$36:F36))*(1-$G$12)</f>
        <v>-4800000</v>
      </c>
    </row>
    <row r="36" spans="1:7" ht="12.75">
      <c r="A36" s="4" t="str">
        <f>A21</f>
        <v>Montant nominal de la dette remboursée</v>
      </c>
      <c r="B36" s="77">
        <v>0</v>
      </c>
      <c r="C36" s="16">
        <f>-C21</f>
        <v>0</v>
      </c>
      <c r="D36" s="16">
        <f>-D21</f>
        <v>0</v>
      </c>
      <c r="E36" s="16">
        <f>-E21</f>
        <v>0</v>
      </c>
      <c r="F36" s="16">
        <f>-F21</f>
        <v>0</v>
      </c>
      <c r="G36" s="24">
        <f>-G21</f>
        <v>-80000000</v>
      </c>
    </row>
    <row r="37" spans="1:7" ht="12.75">
      <c r="A37" s="4" t="s">
        <v>35</v>
      </c>
      <c r="B37" s="77">
        <v>0</v>
      </c>
      <c r="C37" s="16">
        <f>-$B$7*(1-$G$12)*C$21</f>
        <v>0</v>
      </c>
      <c r="D37" s="17">
        <f>-$B$7*(1-$G$12)*D$21</f>
        <v>0</v>
      </c>
      <c r="E37" s="17">
        <f>-$B$7*(1-$G$12)*E$21</f>
        <v>0</v>
      </c>
      <c r="F37" s="17">
        <f>-$B$7*(1-$G$12)*F$21</f>
        <v>0</v>
      </c>
      <c r="G37" s="24">
        <f>-$B$7*(1-$G$12)*G$21</f>
        <v>-2880000</v>
      </c>
    </row>
    <row r="38" spans="1:7" ht="12.75">
      <c r="A38" s="4" t="s">
        <v>16</v>
      </c>
      <c r="B38" s="77">
        <f>-$G$15*$B$1</f>
        <v>-1484536.0824742268</v>
      </c>
      <c r="C38" s="16"/>
      <c r="D38" s="17"/>
      <c r="E38" s="17"/>
      <c r="F38" s="17"/>
      <c r="G38" s="24"/>
    </row>
    <row r="39" spans="1:7" ht="13.5" thickBot="1">
      <c r="A39" s="7" t="s">
        <v>42</v>
      </c>
      <c r="B39" s="78">
        <f>-(1-$G$12)*B28</f>
        <v>-64890.74366310239</v>
      </c>
      <c r="C39" s="18"/>
      <c r="D39" s="18"/>
      <c r="E39" s="18"/>
      <c r="F39" s="18"/>
      <c r="G39" s="20"/>
    </row>
    <row r="40" spans="1:7" ht="13.5" thickBot="1">
      <c r="A40" s="8" t="s">
        <v>3</v>
      </c>
      <c r="B40" s="84">
        <f>SUM(B34:B39)</f>
        <v>78450573.17386267</v>
      </c>
      <c r="C40" s="84">
        <f>SUM(C34:C39)</f>
        <v>-4800000</v>
      </c>
      <c r="D40" s="84">
        <f>SUM(D34:D39)</f>
        <v>-4800000</v>
      </c>
      <c r="E40" s="84">
        <f>SUM(E34:E39)</f>
        <v>-4800000</v>
      </c>
      <c r="F40" s="84">
        <f>SUM(F34:F39)</f>
        <v>-4800000</v>
      </c>
      <c r="G40" s="84">
        <f>SUM(G34:G39)</f>
        <v>-87680000</v>
      </c>
    </row>
    <row r="41" spans="1:8" ht="13.5" thickBot="1">
      <c r="A41" s="6" t="s">
        <v>4</v>
      </c>
      <c r="B41" s="96">
        <f>B40/((1+$B$42)^B33)</f>
        <v>78450573.17386267</v>
      </c>
      <c r="C41" s="25">
        <f>C40/((1+$B$42)^C33)</f>
        <v>-4481860.204855741</v>
      </c>
      <c r="D41" s="25">
        <f>D40/((1+$B$42)^D33)</f>
        <v>-4184806.4366394877</v>
      </c>
      <c r="E41" s="25">
        <f>E40/((1+$B$42)^E33)</f>
        <v>-3907441.131958058</v>
      </c>
      <c r="F41" s="25">
        <f>F40/((1+$B$42)^F33)</f>
        <v>-3648459.356695684</v>
      </c>
      <c r="G41" s="72">
        <f>G40/((1+$B$42)^G33)</f>
        <v>-62228006.043713644</v>
      </c>
      <c r="H41" s="31"/>
    </row>
    <row r="42" spans="1:7" ht="14.25" thickBot="1" thickTop="1">
      <c r="A42" s="69" t="s">
        <v>2</v>
      </c>
      <c r="B42" s="90">
        <f>IRR(B40:G40)</f>
        <v>0.07098387290160894</v>
      </c>
      <c r="C42" s="70"/>
      <c r="D42" s="70"/>
      <c r="E42" s="71"/>
      <c r="F42" s="71"/>
      <c r="G42" s="72"/>
    </row>
    <row r="43" ht="13.5" thickTop="1"/>
  </sheetData>
  <printOptions horizontalCentered="1" verticalCentered="1"/>
  <pageMargins left="0" right="0" top="0.5905511811023623" bottom="0.5905511811023623" header="0.3937007874015748" footer="0.3937007874015748"/>
  <pageSetup horizontalDpi="600" verticalDpi="600" orientation="landscape" paperSize="9" scale="90" r:id="rId1"/>
  <headerFooter alignWithMargins="0">
    <oddHeader>&amp;CCorrigé  du cas Charybde (Auteur : Jean-François Gueugnon)</oddHeader>
    <oddFooter>&amp;CRemboursement In fine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5">
      <selection activeCell="B42" sqref="B42"/>
    </sheetView>
  </sheetViews>
  <sheetFormatPr defaultColWidth="12" defaultRowHeight="12.75"/>
  <cols>
    <col min="1" max="1" width="53.66015625" style="0" bestFit="1" customWidth="1"/>
    <col min="2" max="2" width="18.66015625" style="0" bestFit="1" customWidth="1"/>
    <col min="3" max="3" width="15.66015625" style="0" bestFit="1" customWidth="1"/>
    <col min="4" max="5" width="16.33203125" style="0" bestFit="1" customWidth="1"/>
    <col min="6" max="6" width="17.5" style="0" bestFit="1" customWidth="1"/>
    <col min="7" max="7" width="18.66015625" style="0" bestFit="1" customWidth="1"/>
    <col min="8" max="16384" width="53.5" style="0" customWidth="1"/>
  </cols>
  <sheetData>
    <row r="1" spans="1:5" ht="12.75">
      <c r="A1" t="s">
        <v>9</v>
      </c>
      <c r="B1" s="32">
        <v>100000</v>
      </c>
      <c r="D1" s="2" t="s">
        <v>6</v>
      </c>
      <c r="E1" s="32"/>
    </row>
    <row r="2" spans="1:7" ht="12.75">
      <c r="A2" t="s">
        <v>10</v>
      </c>
      <c r="B2" s="32">
        <v>800</v>
      </c>
      <c r="D2" t="s">
        <v>26</v>
      </c>
      <c r="G2" s="40">
        <v>0</v>
      </c>
    </row>
    <row r="3" spans="1:7" ht="12.75">
      <c r="A3" t="s">
        <v>31</v>
      </c>
      <c r="B3" s="32">
        <f>B$1*$B$2</f>
        <v>80000000</v>
      </c>
      <c r="D3" t="s">
        <v>43</v>
      </c>
      <c r="F3" s="14"/>
      <c r="G3" s="34">
        <v>0</v>
      </c>
    </row>
    <row r="4" spans="1:7" ht="12.75">
      <c r="A4" t="s">
        <v>0</v>
      </c>
      <c r="B4" s="33">
        <v>0.1</v>
      </c>
      <c r="D4" t="s">
        <v>8</v>
      </c>
      <c r="G4" s="42">
        <v>0</v>
      </c>
    </row>
    <row r="5" spans="1:7" ht="12.75">
      <c r="A5" t="s">
        <v>5</v>
      </c>
      <c r="B5" s="34">
        <v>0.11</v>
      </c>
      <c r="D5" t="s">
        <v>28</v>
      </c>
      <c r="G5" s="33">
        <f>G$3*(1-$G$4)/(1-($G$2*G$3))</f>
        <v>0</v>
      </c>
    </row>
    <row r="6" spans="1:7" ht="12.75">
      <c r="A6" t="s">
        <v>12</v>
      </c>
      <c r="B6" s="35">
        <v>5</v>
      </c>
      <c r="D6" t="s">
        <v>23</v>
      </c>
      <c r="G6" s="32">
        <f>G5*B2</f>
        <v>0</v>
      </c>
    </row>
    <row r="7" spans="1:7" ht="12.75">
      <c r="A7" t="s">
        <v>20</v>
      </c>
      <c r="B7" s="36">
        <v>0</v>
      </c>
      <c r="D7" t="s">
        <v>24</v>
      </c>
      <c r="G7" s="32">
        <f>G6*(1-G4)</f>
        <v>0</v>
      </c>
    </row>
    <row r="8" spans="1:5" ht="12.75">
      <c r="A8" t="s">
        <v>15</v>
      </c>
      <c r="B8" s="37">
        <f>$B$2*(1+$B$7)</f>
        <v>800</v>
      </c>
      <c r="E8" s="32"/>
    </row>
    <row r="9" spans="1:5" ht="12.75">
      <c r="A9" t="s">
        <v>19</v>
      </c>
      <c r="B9" s="38">
        <v>1</v>
      </c>
      <c r="D9" s="2" t="s">
        <v>7</v>
      </c>
      <c r="E9" s="29"/>
    </row>
    <row r="10" spans="1:7" ht="12.75">
      <c r="A10" t="s">
        <v>32</v>
      </c>
      <c r="B10" s="52">
        <f>($B$4/(1-((1+$B$4)^-$B$6)))</f>
        <v>0.26379748079474524</v>
      </c>
      <c r="C10" s="47"/>
      <c r="D10" t="s">
        <v>26</v>
      </c>
      <c r="G10" s="40">
        <v>0</v>
      </c>
    </row>
    <row r="11" spans="2:7" ht="12.75">
      <c r="B11" s="39"/>
      <c r="D11" t="s">
        <v>25</v>
      </c>
      <c r="G11" s="34">
        <v>0.03</v>
      </c>
    </row>
    <row r="12" spans="4:7" ht="12.75">
      <c r="D12" t="s">
        <v>11</v>
      </c>
      <c r="G12" s="41">
        <v>0.4</v>
      </c>
    </row>
    <row r="13" spans="4:7" ht="12.75">
      <c r="D13" t="s">
        <v>27</v>
      </c>
      <c r="G13" s="33">
        <f>G$11/(1-($G$10*G$11))</f>
        <v>0.03</v>
      </c>
    </row>
    <row r="14" spans="4:7" ht="12.75">
      <c r="D14" t="s">
        <v>17</v>
      </c>
      <c r="F14" s="14"/>
      <c r="G14" s="37">
        <f>G13*B2</f>
        <v>24</v>
      </c>
    </row>
    <row r="15" spans="4:7" ht="12.75">
      <c r="D15" t="s">
        <v>18</v>
      </c>
      <c r="F15" s="14"/>
      <c r="G15" s="37">
        <f>G14*(1-$G$12)</f>
        <v>14.399999999999999</v>
      </c>
    </row>
    <row r="16" spans="2:7" ht="12.75">
      <c r="B16" s="53"/>
      <c r="F16" s="14"/>
      <c r="G16" s="14"/>
    </row>
    <row r="17" spans="1:2" ht="13.5" thickBot="1">
      <c r="A17" s="2" t="s">
        <v>41</v>
      </c>
      <c r="B17" s="43"/>
    </row>
    <row r="18" spans="1:7" ht="14.25" thickBot="1" thickTop="1">
      <c r="A18" s="3" t="s">
        <v>1</v>
      </c>
      <c r="B18" s="81">
        <v>0</v>
      </c>
      <c r="C18" s="11">
        <v>1</v>
      </c>
      <c r="D18" s="9">
        <v>2</v>
      </c>
      <c r="E18" s="9">
        <v>3</v>
      </c>
      <c r="F18" s="9">
        <v>4</v>
      </c>
      <c r="G18" s="10">
        <v>5</v>
      </c>
    </row>
    <row r="19" spans="1:7" ht="13.5" thickTop="1">
      <c r="A19" s="4" t="s">
        <v>33</v>
      </c>
      <c r="B19" s="82">
        <f>-B3</f>
        <v>-80000000</v>
      </c>
      <c r="C19" s="49"/>
      <c r="D19" s="49"/>
      <c r="E19" s="49"/>
      <c r="F19" s="49"/>
      <c r="G19" s="50"/>
    </row>
    <row r="20" spans="1:8" ht="12.75">
      <c r="A20" s="4" t="s">
        <v>30</v>
      </c>
      <c r="B20" s="77">
        <v>0</v>
      </c>
      <c r="C20" s="16">
        <f>$B$4*($B$3-SUM($B$21:B21))*(1-$G$4)</f>
        <v>8000000</v>
      </c>
      <c r="D20" s="16">
        <f>$B$4*($B$3-SUM($B$21:C21))*(1-$G$4)</f>
        <v>6689600</v>
      </c>
      <c r="E20" s="16">
        <f>$B$4*($B$3-SUM($B$21:D21))*(1-$G$4)</f>
        <v>5248160</v>
      </c>
      <c r="F20" s="16">
        <f>$B$4*($B$3-SUM($B$21:E21))*(1-$G$4)</f>
        <v>3662560</v>
      </c>
      <c r="G20" s="24">
        <f>$B$4*($B$3-SUM($B$21:F21))*(1-$G$4)</f>
        <v>1918400</v>
      </c>
      <c r="H20" s="15"/>
    </row>
    <row r="21" spans="1:7" ht="12.75">
      <c r="A21" s="4" t="s">
        <v>21</v>
      </c>
      <c r="B21" s="77">
        <v>0</v>
      </c>
      <c r="C21" s="16">
        <f>IF($B$9=0,IF(C18=$B$6,$B$2*$B$1,0),(IF(C18=$B$6,$B$2*$B$1-SUM($B$21:B21),ROUND(((($B$10*$B$1*$B$2)-C20)/$B$2),0)*$B$2)))</f>
        <v>13104000</v>
      </c>
      <c r="D21" s="16">
        <f>IF($B$9=0,IF(D18=$B$6,$B$2*$B$1,0),(IF(D18=$B$6,$B$2*$B$1-SUM($B$21:C21),ROUND(((($B$10*$B$1*$B$2)-D20)/$B$2),0)*$B$2)))</f>
        <v>14414400</v>
      </c>
      <c r="E21" s="16">
        <f>IF($B$9=0,IF(E18=$B$6,$B$2*$B$1,0),(IF(E18=$B$6,$B$2*$B$1-SUM($B$21:D21),ROUND(((($B$10*$B$1*$B$2)-E20)/$B$2),0)*$B$2)))</f>
        <v>15856000</v>
      </c>
      <c r="F21" s="16">
        <f>IF($B$9=0,IF(F18=$B$6,$B$2*$B$1,0),(IF(F18=$B$6,$B$2*$B$1-SUM($B$21:E21),ROUND(((($B$10*$B$1*$B$2)-F20)/$B$2),0)*$B$2)))</f>
        <v>17441600</v>
      </c>
      <c r="G21" s="24">
        <f>IF($B$9=0,IF(G18=$B$6,$B$2*$B$1,0),(IF(G18=$B$6,$B$2*$B$1-SUM($B$21:F21),ROUND(((($B$10*$B$1*$B$2)-G20)/$B$2),0)*$B$2)))</f>
        <v>19184000</v>
      </c>
    </row>
    <row r="22" spans="1:7" ht="12.75">
      <c r="A22" s="4" t="s">
        <v>34</v>
      </c>
      <c r="B22" s="77">
        <v>0</v>
      </c>
      <c r="C22" s="16">
        <f>$B$7*(1-$G$4)*C$21</f>
        <v>0</v>
      </c>
      <c r="D22" s="17">
        <f>$B$7*(1-$G$4)*D$21</f>
        <v>0</v>
      </c>
      <c r="E22" s="17">
        <f>$B$7*(1-$G$4)*E$21</f>
        <v>0</v>
      </c>
      <c r="F22" s="17">
        <f>$B$7*(1-$G$4)*F$21</f>
        <v>0</v>
      </c>
      <c r="G22" s="24">
        <f>$B$7*(1-$G$4)*G$21</f>
        <v>0</v>
      </c>
    </row>
    <row r="23" spans="1:7" ht="13.5" thickBot="1">
      <c r="A23" s="7" t="s">
        <v>14</v>
      </c>
      <c r="B23" s="83">
        <f>G7</f>
        <v>0</v>
      </c>
      <c r="C23" s="18">
        <v>0</v>
      </c>
      <c r="D23" s="19">
        <v>0</v>
      </c>
      <c r="E23" s="19">
        <v>0</v>
      </c>
      <c r="F23" s="19">
        <v>0</v>
      </c>
      <c r="G23" s="20">
        <v>0</v>
      </c>
    </row>
    <row r="24" spans="1:7" ht="13.5" thickBot="1">
      <c r="A24" s="8" t="s">
        <v>3</v>
      </c>
      <c r="B24" s="84">
        <f>B20+B23+B21</f>
        <v>0</v>
      </c>
      <c r="C24" s="23">
        <f>SUM(C20:C22)-C23</f>
        <v>21104000</v>
      </c>
      <c r="D24" s="21">
        <f>SUM(D20:D22)-D23</f>
        <v>21104000</v>
      </c>
      <c r="E24" s="21">
        <f>SUM(E20:E22)-E23</f>
        <v>21104160</v>
      </c>
      <c r="F24" s="21">
        <f>SUM(F20:F22)-F23</f>
        <v>21104160</v>
      </c>
      <c r="G24" s="22">
        <f>SUM(G20:G22)-G23</f>
        <v>21102400</v>
      </c>
    </row>
    <row r="25" spans="1:7" ht="13.5" thickBot="1">
      <c r="A25" s="8" t="s">
        <v>4</v>
      </c>
      <c r="B25" s="84">
        <f aca="true" t="shared" si="0" ref="B25:G25">B24/((1+$B$5)^B$18)</f>
        <v>0</v>
      </c>
      <c r="C25" s="23">
        <f t="shared" si="0"/>
        <v>19012612.612612613</v>
      </c>
      <c r="D25" s="21">
        <f t="shared" si="0"/>
        <v>17128479.831182532</v>
      </c>
      <c r="E25" s="21">
        <f t="shared" si="0"/>
        <v>15431179.901596261</v>
      </c>
      <c r="F25" s="21">
        <f t="shared" si="0"/>
        <v>13901963.875311946</v>
      </c>
      <c r="G25" s="22">
        <f t="shared" si="0"/>
        <v>12523247.305222927</v>
      </c>
    </row>
    <row r="26" spans="1:7" ht="13.5" thickBot="1">
      <c r="A26" s="8" t="s">
        <v>40</v>
      </c>
      <c r="B26" s="85">
        <f>SUM($C$25:$G$25)</f>
        <v>77997483.52592628</v>
      </c>
      <c r="C26" s="44"/>
      <c r="D26" s="45"/>
      <c r="E26" s="45"/>
      <c r="F26" s="45"/>
      <c r="G26" s="30"/>
    </row>
    <row r="27" spans="1:7" ht="12.75">
      <c r="A27" s="4" t="s">
        <v>36</v>
      </c>
      <c r="B27" s="86">
        <f>MAX(0,-(B19+B26))</f>
        <v>2002516.474073723</v>
      </c>
      <c r="C27" s="55"/>
      <c r="D27" s="56"/>
      <c r="E27" s="56"/>
      <c r="F27" s="56"/>
      <c r="G27" s="57"/>
    </row>
    <row r="28" spans="1:7" ht="12.75">
      <c r="A28" s="4" t="s">
        <v>37</v>
      </c>
      <c r="B28" s="87">
        <f>B27/$B$1</f>
        <v>20.025164740737228</v>
      </c>
      <c r="C28" s="55"/>
      <c r="D28" s="56"/>
      <c r="E28" s="56"/>
      <c r="F28" s="56"/>
      <c r="G28" s="57"/>
    </row>
    <row r="29" spans="1:7" ht="13.5" thickBot="1">
      <c r="A29" s="4" t="s">
        <v>29</v>
      </c>
      <c r="B29" s="88">
        <f>B26/$B$1</f>
        <v>779.9748352592628</v>
      </c>
      <c r="C29" s="55"/>
      <c r="D29" s="56"/>
      <c r="E29" s="56"/>
      <c r="F29" s="56"/>
      <c r="G29" s="57"/>
    </row>
    <row r="30" spans="1:7" ht="13.5" thickBot="1">
      <c r="A30" s="58" t="s">
        <v>13</v>
      </c>
      <c r="B30" s="89">
        <f>$B$29/$B$2</f>
        <v>0.9749685440740785</v>
      </c>
      <c r="C30" s="59"/>
      <c r="D30" s="60"/>
      <c r="E30" s="60"/>
      <c r="F30" s="60"/>
      <c r="G30" s="61"/>
    </row>
    <row r="31" spans="1:7" ht="13.5" thickTop="1">
      <c r="A31" s="12"/>
      <c r="B31" s="12"/>
      <c r="C31" s="46"/>
      <c r="D31" s="46"/>
      <c r="E31" s="46"/>
      <c r="F31" s="46"/>
      <c r="G31" s="13"/>
    </row>
    <row r="32" spans="1:7" ht="13.5" thickBot="1">
      <c r="A32" s="1" t="s">
        <v>7</v>
      </c>
      <c r="B32" s="1"/>
      <c r="C32" s="47"/>
      <c r="D32" s="47"/>
      <c r="E32" s="47"/>
      <c r="F32" s="47"/>
      <c r="G32" s="47"/>
    </row>
    <row r="33" spans="1:7" ht="14.25" thickBot="1" thickTop="1">
      <c r="A33" s="3" t="s">
        <v>1</v>
      </c>
      <c r="B33" s="74">
        <v>0</v>
      </c>
      <c r="C33" s="26">
        <f>C18</f>
        <v>1</v>
      </c>
      <c r="D33" s="27">
        <f>D18</f>
        <v>2</v>
      </c>
      <c r="E33" s="27">
        <f>E18</f>
        <v>3</v>
      </c>
      <c r="F33" s="27">
        <f>F18</f>
        <v>4</v>
      </c>
      <c r="G33" s="28">
        <f>G18</f>
        <v>5</v>
      </c>
    </row>
    <row r="34" spans="1:7" ht="13.5" thickTop="1">
      <c r="A34" s="4" t="s">
        <v>31</v>
      </c>
      <c r="B34" s="75">
        <f>B3</f>
        <v>80000000</v>
      </c>
      <c r="C34" s="73"/>
      <c r="D34" s="51"/>
      <c r="E34" s="51"/>
      <c r="F34" s="51"/>
      <c r="G34" s="48"/>
    </row>
    <row r="35" spans="1:7" ht="12.75">
      <c r="A35" s="4" t="s">
        <v>22</v>
      </c>
      <c r="B35" s="76">
        <v>0</v>
      </c>
      <c r="C35" s="16">
        <f>-$B$4*($B$3+SUM($B$36:B36))*(1-$G$12)</f>
        <v>-4800000</v>
      </c>
      <c r="D35" s="17">
        <f>-$B$4*($B$3+SUM($B$36:C36))*(1-$G$12)</f>
        <v>-4013760</v>
      </c>
      <c r="E35" s="17">
        <f>-$B$4*($B$3+SUM($B$36:D36))*(1-$G$12)</f>
        <v>-3148896</v>
      </c>
      <c r="F35" s="17">
        <f>-$B$4*($B$3+SUM($B$36:E36))*(1-$G$12)</f>
        <v>-2197536</v>
      </c>
      <c r="G35" s="24">
        <f>-$B$4*($B$3+SUM($B$36:F36))*(1-$G$12)</f>
        <v>-1151040</v>
      </c>
    </row>
    <row r="36" spans="1:8" ht="12.75">
      <c r="A36" s="4" t="str">
        <f>A21</f>
        <v>Montant nominal de la dette remboursée</v>
      </c>
      <c r="B36" s="77">
        <v>0</v>
      </c>
      <c r="C36" s="16">
        <f>-C21</f>
        <v>-13104000</v>
      </c>
      <c r="D36" s="16">
        <f>-D21</f>
        <v>-14414400</v>
      </c>
      <c r="E36" s="16">
        <f>-E21</f>
        <v>-15856000</v>
      </c>
      <c r="F36" s="16">
        <f>-F21</f>
        <v>-17441600</v>
      </c>
      <c r="G36" s="24">
        <f>-G21</f>
        <v>-19184000</v>
      </c>
      <c r="H36" s="31"/>
    </row>
    <row r="37" spans="1:7" ht="12.75">
      <c r="A37" s="4" t="s">
        <v>35</v>
      </c>
      <c r="B37" s="77">
        <v>0</v>
      </c>
      <c r="C37" s="16">
        <f>-$B$7*(1-$G$12)*C$21</f>
        <v>0</v>
      </c>
      <c r="D37" s="17">
        <f>-$B$7*(1-$G$12)*D$21</f>
        <v>0</v>
      </c>
      <c r="E37" s="17">
        <f>-$B$7*(1-$G$12)*E$21</f>
        <v>0</v>
      </c>
      <c r="F37" s="17">
        <f>-$B$7*(1-$G$12)*F$21</f>
        <v>0</v>
      </c>
      <c r="G37" s="24">
        <f>-$B$7*(1-$G$12)*G$21</f>
        <v>0</v>
      </c>
    </row>
    <row r="38" spans="1:7" ht="12.75">
      <c r="A38" s="4" t="s">
        <v>16</v>
      </c>
      <c r="B38" s="76">
        <f>-$G$15*$B$1</f>
        <v>-1439999.9999999998</v>
      </c>
      <c r="C38" s="16"/>
      <c r="D38" s="17"/>
      <c r="E38" s="17"/>
      <c r="F38" s="17"/>
      <c r="G38" s="24"/>
    </row>
    <row r="39" spans="1:7" ht="13.5" thickBot="1">
      <c r="A39" s="7" t="s">
        <v>42</v>
      </c>
      <c r="B39" s="78">
        <f>-(1-$G$12)*B27</f>
        <v>-1201509.8844442337</v>
      </c>
      <c r="C39" s="18"/>
      <c r="D39" s="18"/>
      <c r="E39" s="18"/>
      <c r="F39" s="18"/>
      <c r="G39" s="20"/>
    </row>
    <row r="40" spans="1:7" ht="13.5" thickBot="1">
      <c r="A40" s="8" t="s">
        <v>3</v>
      </c>
      <c r="B40" s="79">
        <f>SUM(B34:B39)</f>
        <v>77358490.11555576</v>
      </c>
      <c r="C40" s="79">
        <f>SUM(C34:C39)</f>
        <v>-17904000</v>
      </c>
      <c r="D40" s="79">
        <f>SUM(D34:D39)</f>
        <v>-18428160</v>
      </c>
      <c r="E40" s="79">
        <f>SUM(E34:E39)</f>
        <v>-19004896</v>
      </c>
      <c r="F40" s="79">
        <f>SUM(F34:F39)</f>
        <v>-19639136</v>
      </c>
      <c r="G40" s="79">
        <f>SUM(G34:G39)</f>
        <v>-20335040</v>
      </c>
    </row>
    <row r="41" spans="1:8" ht="13.5" thickBot="1">
      <c r="A41" s="8" t="s">
        <v>4</v>
      </c>
      <c r="B41" s="79">
        <f aca="true" t="shared" si="1" ref="B41:G41">B40/((1+$B$42)^B33)</f>
        <v>77358490.11555576</v>
      </c>
      <c r="C41" s="23">
        <f t="shared" si="1"/>
        <v>-16698480.075044125</v>
      </c>
      <c r="D41" s="21">
        <f t="shared" si="1"/>
        <v>-16030081.16547811</v>
      </c>
      <c r="E41" s="21">
        <f t="shared" si="1"/>
        <v>-15418641.754723404</v>
      </c>
      <c r="F41" s="21">
        <f t="shared" si="1"/>
        <v>-14860378.515451906</v>
      </c>
      <c r="G41" s="22">
        <f t="shared" si="1"/>
        <v>-14350908.604858216</v>
      </c>
      <c r="H41" s="31"/>
    </row>
    <row r="42" spans="1:7" ht="13.5" thickBot="1">
      <c r="A42" s="69" t="s">
        <v>2</v>
      </c>
      <c r="B42" s="80">
        <f>IRR(B40:G40)</f>
        <v>0.07219339242483058</v>
      </c>
      <c r="C42" s="70"/>
      <c r="D42" s="70"/>
      <c r="E42" s="71"/>
      <c r="F42" s="71"/>
      <c r="G42" s="72"/>
    </row>
    <row r="43" ht="13.5" thickTop="1"/>
  </sheetData>
  <printOptions horizontalCentered="1" verticalCentered="1"/>
  <pageMargins left="0" right="0" top="0.5905511811023623" bottom="0.5905511811023623" header="0.3937007874015748" footer="0.3937007874015748"/>
  <pageSetup horizontalDpi="600" verticalDpi="600" orientation="landscape" paperSize="9" scale="90" r:id="rId1"/>
  <headerFooter alignWithMargins="0">
    <oddHeader>&amp;CCorrigé  du cas Scylla (Auteur : Jean-François Gueugnon)</oddHeader>
    <oddFooter>&amp;CRemboursements par annuité constante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Gueugnon</dc:creator>
  <cp:keywords/>
  <dc:description/>
  <cp:lastModifiedBy>Gueugnon</cp:lastModifiedBy>
  <cp:lastPrinted>2010-01-28T17:00:44Z</cp:lastPrinted>
  <dcterms:created xsi:type="dcterms:W3CDTF">2001-03-20T13:24:46Z</dcterms:created>
  <dcterms:modified xsi:type="dcterms:W3CDTF">2010-01-28T17:01:26Z</dcterms:modified>
  <cp:category/>
  <cp:version/>
  <cp:contentType/>
  <cp:contentStatus/>
</cp:coreProperties>
</file>