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ssiers pédagogiques personnels\Choix des Investissements\Etudes de cas - Investissement\"/>
    </mc:Choice>
  </mc:AlternateContent>
  <bookViews>
    <workbookView xWindow="240" yWindow="135" windowWidth="9180" windowHeight="4500"/>
  </bookViews>
  <sheets>
    <sheet name="Dette" sheetId="1" r:id="rId1"/>
  </sheets>
  <calcPr calcId="162913"/>
</workbook>
</file>

<file path=xl/calcChain.xml><?xml version="1.0" encoding="utf-8"?>
<calcChain xmlns="http://schemas.openxmlformats.org/spreadsheetml/2006/main">
  <c r="F48" i="1" l="1"/>
  <c r="F49" i="1" s="1"/>
  <c r="D48" i="1"/>
  <c r="D49" i="1" s="1"/>
  <c r="E48" i="1"/>
  <c r="E49" i="1" s="1"/>
  <c r="C48" i="1"/>
  <c r="C49" i="1" s="1"/>
  <c r="F43" i="1"/>
  <c r="B49" i="1"/>
  <c r="G48" i="1" l="1"/>
  <c r="G49" i="1"/>
  <c r="D17" i="1"/>
  <c r="B17" i="1"/>
  <c r="G73" i="1" l="1"/>
  <c r="F17" i="1" l="1"/>
  <c r="C18" i="1" s="1"/>
  <c r="G99" i="1" l="1"/>
  <c r="C5" i="1"/>
  <c r="G54" i="1" s="1"/>
  <c r="D62" i="1"/>
  <c r="D63" i="1" s="1"/>
  <c r="D64" i="1" s="1"/>
  <c r="E62" i="1"/>
  <c r="E66" i="1" s="1"/>
  <c r="F62" i="1"/>
  <c r="F66" i="1" s="1"/>
  <c r="G62" i="1"/>
  <c r="G66" i="1" s="1"/>
  <c r="C71" i="1"/>
  <c r="C75" i="1" s="1"/>
  <c r="G74" i="1"/>
  <c r="C78" i="1"/>
  <c r="D78" i="1"/>
  <c r="E78" i="1"/>
  <c r="F78" i="1"/>
  <c r="G78" i="1"/>
  <c r="D87" i="1"/>
  <c r="D91" i="1" s="1"/>
  <c r="E87" i="1"/>
  <c r="E88" i="1" s="1"/>
  <c r="F87" i="1"/>
  <c r="F91" i="1" s="1"/>
  <c r="G87" i="1"/>
  <c r="G91" i="1" s="1"/>
  <c r="C98" i="1"/>
  <c r="C101" i="1" s="1"/>
  <c r="G100" i="1"/>
  <c r="C104" i="1"/>
  <c r="D104" i="1"/>
  <c r="E104" i="1"/>
  <c r="F104" i="1"/>
  <c r="G104" i="1"/>
  <c r="D66" i="1" l="1"/>
  <c r="C7" i="1"/>
  <c r="C79" i="1"/>
  <c r="F63" i="1"/>
  <c r="F64" i="1" s="1"/>
  <c r="C105" i="1"/>
  <c r="G88" i="1"/>
  <c r="G89" i="1" s="1"/>
  <c r="D88" i="1"/>
  <c r="D89" i="1" s="1"/>
  <c r="G63" i="1"/>
  <c r="G64" i="1" s="1"/>
  <c r="G65" i="1" s="1"/>
  <c r="E91" i="1"/>
  <c r="E63" i="1"/>
  <c r="E64" i="1" s="1"/>
  <c r="F88" i="1"/>
  <c r="F89" i="1" s="1"/>
  <c r="F90" i="1" s="1"/>
  <c r="E89" i="1"/>
  <c r="E90" i="1" s="1"/>
  <c r="D65" i="1"/>
  <c r="E92" i="1" l="1"/>
  <c r="E94" i="1" s="1"/>
  <c r="E98" i="1" s="1"/>
  <c r="E101" i="1" s="1"/>
  <c r="E105" i="1" s="1"/>
  <c r="G67" i="1"/>
  <c r="G69" i="1" s="1"/>
  <c r="G72" i="1" s="1"/>
  <c r="F92" i="1"/>
  <c r="F94" i="1" s="1"/>
  <c r="F98" i="1" s="1"/>
  <c r="F101" i="1" s="1"/>
  <c r="F105" i="1" s="1"/>
  <c r="D67" i="1"/>
  <c r="D69" i="1" s="1"/>
  <c r="D72" i="1" s="1"/>
  <c r="D75" i="1" s="1"/>
  <c r="D79" i="1" s="1"/>
  <c r="F65" i="1"/>
  <c r="D90" i="1"/>
  <c r="G90" i="1"/>
  <c r="E65" i="1"/>
  <c r="E67" i="1" l="1"/>
  <c r="E69" i="1" s="1"/>
  <c r="E72" i="1" s="1"/>
  <c r="E75" i="1" s="1"/>
  <c r="E79" i="1" s="1"/>
  <c r="F67" i="1"/>
  <c r="F69" i="1" s="1"/>
  <c r="F72" i="1" s="1"/>
  <c r="F75" i="1" s="1"/>
  <c r="F79" i="1" s="1"/>
  <c r="G92" i="1"/>
  <c r="G94" i="1" s="1"/>
  <c r="G98" i="1" s="1"/>
  <c r="G101" i="1" s="1"/>
  <c r="G105" i="1" s="1"/>
  <c r="D92" i="1"/>
  <c r="D94" i="1" s="1"/>
  <c r="D98" i="1" s="1"/>
  <c r="D101" i="1" s="1"/>
  <c r="D105" i="1" s="1"/>
  <c r="G75" i="1"/>
  <c r="G79" i="1" s="1"/>
  <c r="B107" i="1" l="1"/>
  <c r="B81" i="1"/>
  <c r="B111" i="1" l="1"/>
  <c r="D112" i="1" l="1"/>
  <c r="D113" i="1" s="1"/>
  <c r="E117" i="1" s="1"/>
  <c r="G115" i="1" l="1"/>
  <c r="G117" i="1"/>
  <c r="E115" i="1"/>
</calcChain>
</file>

<file path=xl/sharedStrings.xml><?xml version="1.0" encoding="utf-8"?>
<sst xmlns="http://schemas.openxmlformats.org/spreadsheetml/2006/main" count="122" uniqueCount="95">
  <si>
    <t>RF =</t>
  </si>
  <si>
    <t xml:space="preserve">E(RM) = </t>
  </si>
  <si>
    <t xml:space="preserve"> = Résultat avant impôt</t>
  </si>
  <si>
    <t xml:space="preserve"> = Résultat net comptable</t>
  </si>
  <si>
    <t xml:space="preserve"> - Dotations linéaires aux amortissements</t>
  </si>
  <si>
    <t xml:space="preserve"> + Dotations linéaires aux amortissements</t>
  </si>
  <si>
    <t xml:space="preserve">   -Impôts (sur les bénéfices)</t>
  </si>
  <si>
    <t xml:space="preserve">   Soldes  / Année</t>
  </si>
  <si>
    <t xml:space="preserve"> = Flux net de trésorerie d'exploitation</t>
  </si>
  <si>
    <t>Récupération du BFR</t>
  </si>
  <si>
    <t>Valeur résiduelle nette de l'investissement</t>
  </si>
  <si>
    <t>Rentrées nettes de trésorerie</t>
  </si>
  <si>
    <t>Variation du BFR</t>
  </si>
  <si>
    <t>Sorties nettes de trésorerie</t>
  </si>
  <si>
    <t>Flux nets de trésorerie</t>
  </si>
  <si>
    <t>Coût de l'quipement</t>
  </si>
  <si>
    <t>2) Calcul de la valeur actuelle nette (scénario n°2)</t>
  </si>
  <si>
    <t>1) Calcul de la valeur actuelle nette (scénario n°1)</t>
  </si>
  <si>
    <t xml:space="preserve">VAN1 = </t>
  </si>
  <si>
    <t xml:space="preserve">VAN2 = </t>
  </si>
  <si>
    <t xml:space="preserve">E[VAN] = </t>
  </si>
  <si>
    <t>p1 = probabilité d'occurence=</t>
  </si>
  <si>
    <t>p2 = probabilité d'occurrence =</t>
  </si>
  <si>
    <t>CONCLUSION</t>
  </si>
  <si>
    <t>B] Evaluation du coût moyen pondéré du capital de l'entreprise Ramel (K)</t>
  </si>
  <si>
    <t>Kd =</t>
  </si>
  <si>
    <t>E[Ks] =</t>
  </si>
  <si>
    <t xml:space="preserve">avec des dettes financières égales à </t>
  </si>
  <si>
    <t>C] Analyse du projet d'investissement (hypothèse : coût moyen pondéré du capital du projet (k) = coût moyen pondéré du capital de l'entreprise (K))</t>
  </si>
  <si>
    <t xml:space="preserve">   -Impôts sur les bénéfices</t>
  </si>
  <si>
    <t>Coût de l'équipement</t>
  </si>
  <si>
    <t>Flux net de trésorerie d'exploitation</t>
  </si>
  <si>
    <t>millions d'euros</t>
  </si>
  <si>
    <t xml:space="preserve"> Ps=div0.(1+g)/([E(Rs)-g) = div1 / [E(Rs) - g]</t>
  </si>
  <si>
    <t>A]  Calcul du coût du capital de la société Ramel</t>
  </si>
  <si>
    <t>Le prix de l'action s'écrit avec des paramètres de long terme :</t>
  </si>
  <si>
    <t>E[Rs] = (div1/Ps) + g =</t>
  </si>
  <si>
    <t xml:space="preserve">   Cash-flow brut (MBA avant impôt)</t>
  </si>
  <si>
    <t xml:space="preserve"> - Marge Brute d'Autofinancement (pas d'inv.)</t>
  </si>
  <si>
    <t xml:space="preserve"> = Marge Brute dAutofinancement (Inv.)</t>
  </si>
  <si>
    <t>2) Le modèle de Gordon-Shapiro</t>
  </si>
  <si>
    <t xml:space="preserve"> = Marge Brute d'Autofinancement (Inv.)</t>
  </si>
  <si>
    <t>millions d'euros au carré</t>
  </si>
  <si>
    <t>un cours =</t>
  </si>
  <si>
    <t>un taux de croissance  des dividendes =</t>
  </si>
  <si>
    <t>D'où un taux de rentabilité espéré par l'investisseur en fonds propres, somme d'un taux de rendement et d'un taux de croissance des dividendes :</t>
  </si>
  <si>
    <t xml:space="preserve"> +</t>
  </si>
  <si>
    <t xml:space="preserve"> =</t>
  </si>
  <si>
    <t>d’où un coût du capital</t>
  </si>
  <si>
    <t>1) Le modèle d'évaluation des actifs financiers (MEDAF)</t>
  </si>
  <si>
    <t xml:space="preserve"> - à l'échéance T, une valeur de remboursement VR de la dette financière égale à la valeur nominale DN de la dette financière.</t>
  </si>
  <si>
    <t xml:space="preserve">Somme des flux </t>
  </si>
  <si>
    <t xml:space="preserve">                                                                                                            </t>
  </si>
  <si>
    <t xml:space="preserve">En l'absence de frais d'émission, de primes d'émission et en présence d'un taux d'intérêt nominal i, on a : </t>
  </si>
  <si>
    <t xml:space="preserve"> + Valeur de remboursement de la dette VRD nette d'impôt actualisée au coût de la la dette Kd à l'échance T</t>
  </si>
  <si>
    <t xml:space="preserve">avec une valeur de remboursement VRD après impôt = Dette nominale + Prime de remboursement après impôt = Dette nominale x (1 + prime de remboursement.(1 -  τ)) </t>
  </si>
  <si>
    <t>avec des frais financiers réels annuels FFR = i . (1 -  τ) . DN</t>
  </si>
  <si>
    <t xml:space="preserve">avec une valeur de remboursement VRD = = Dette nominale + Prime de remboursement = Dette nominale x (1 + prime de remboursement prd), </t>
  </si>
  <si>
    <t xml:space="preserve"> Kd = Rd . (1 - τ) = i . (1 - τ) =</t>
  </si>
  <si>
    <r>
      <t>avec un taux d'impôt sur les bénéfices</t>
    </r>
    <r>
      <rPr>
        <sz val="14"/>
        <rFont val="Times New Roman"/>
        <family val="1"/>
      </rPr>
      <t xml:space="preserve"> τ </t>
    </r>
    <r>
      <rPr>
        <sz val="10"/>
        <rFont val="Times New Roman"/>
        <family val="1"/>
      </rPr>
      <t>=</t>
    </r>
  </si>
  <si>
    <t>FFR/DN = i . (1 - τ)</t>
  </si>
  <si>
    <t>(i . (1 - τ) /(1+Kd)^t</t>
  </si>
  <si>
    <t xml:space="preserve"> 1 - SOMME (i . (1-τ) / ((1+Kd)^t))  - (1 / (1+Kd)^T) = 0</t>
  </si>
  <si>
    <t xml:space="preserve"> (SOMME ( i / ((1+Rd)^t))  + (1/ (1+Rd)^T) - 1 = 0</t>
  </si>
  <si>
    <r>
      <rPr>
        <b/>
        <sz val="10"/>
        <rFont val="Times New Roman"/>
        <family val="1"/>
      </rPr>
      <t xml:space="preserve">2ème cas (réel) :     </t>
    </r>
    <r>
      <rPr>
        <sz val="10"/>
        <rFont val="Times New Roman"/>
        <family val="1"/>
      </rPr>
      <t>quand l'échéance T= 4 ans avec un taux d'intérêt nonimal  i =</t>
    </r>
  </si>
  <si>
    <t>Bs =</t>
  </si>
  <si>
    <t>E[Rs] = RF + Bs . [E(RM) -RF] =</t>
  </si>
  <si>
    <t>K =  (E[Ks] . S + E[Kd] . D )/(S + D) =</t>
  </si>
  <si>
    <t xml:space="preserve"> + Valeur de remboursement de la dette VRD actualisée au taux de rentabilité Rd à l'échéance T</t>
  </si>
  <si>
    <t>on a alors un coût de la dette financière</t>
  </si>
  <si>
    <t xml:space="preserve">En l'absence de prime de remboursement (Prd=0%) et en divisant la dette D par la dette nominale DN , le coût de la dette financière Kd est tel que </t>
  </si>
  <si>
    <t>En l'absence de prime de remboursement (Prd=0%) et en divisant l'équation de la dette D par la dette nominale DN , l'équation de la dette financière est telle que  :</t>
  </si>
  <si>
    <t xml:space="preserve"> - aujourd'hui en t=0, une valeur de la dette financière D égale à la valeur nominale DN de la dette financière, en année t (t=1 à T), des frais financiers annuels FF = i . DN</t>
  </si>
  <si>
    <r>
      <rPr>
        <b/>
        <sz val="10"/>
        <rFont val="Times New Roman"/>
        <family val="1"/>
      </rPr>
      <t>1) Du point de vue du souscripteur,</t>
    </r>
    <r>
      <rPr>
        <sz val="10"/>
        <rFont val="Times New Roman"/>
        <family val="1"/>
      </rPr>
      <t xml:space="preserve"> la dette D = DN = somme des frais financiers actualisés au taux de rentabilité Rd de la dette de l'année 1 à T</t>
    </r>
  </si>
  <si>
    <r>
      <rPr>
        <b/>
        <sz val="10"/>
        <rFont val="Times New Roman"/>
        <family val="1"/>
      </rPr>
      <t>2) Du point de vue de l'émetteur,</t>
    </r>
    <r>
      <rPr>
        <sz val="10"/>
        <rFont val="Times New Roman"/>
        <family val="1"/>
      </rPr>
      <t xml:space="preserve"> la dette D = DN = somme des frais financiers réels actualisés au coût de la dette Kd de l'année 1 à T</t>
    </r>
  </si>
  <si>
    <t>avec</t>
  </si>
  <si>
    <t xml:space="preserve">     On a : </t>
  </si>
  <si>
    <t xml:space="preserve">  d'où un coût du capital </t>
  </si>
  <si>
    <t>on a alors, après itérations, un coût de la dette financière</t>
  </si>
  <si>
    <t>Dans ces conditions, avec des capitaux propres égaux à</t>
  </si>
  <si>
    <t xml:space="preserve">le coût moyen pondéré du capital de l'entreprise est donc égal à </t>
  </si>
  <si>
    <t>Ecart-type [VAN] = Racine carrée de la variance de la VAN =</t>
  </si>
  <si>
    <t>V[VAN] = p1. ([VAN1 - E(VAN) ]^2) + p2 . [ VAN2 - E(VAN) ]^2 =</t>
  </si>
  <si>
    <t>et, en l'absence de lien entre les deux projets, nous avons</t>
  </si>
  <si>
    <t>Ainsi, si, au seuil d'erreur de 5%, vous obtenez avec t =</t>
  </si>
  <si>
    <t>il y a au moins 97,5% de chances que votre projet soit rentable.</t>
  </si>
  <si>
    <t>il y a au moins 0,5% de chances que votre projet ne soit pas rentable.</t>
  </si>
  <si>
    <t>Mais, si au seuil d'erreur de 1%, vous obtenez avec t =</t>
  </si>
  <si>
    <r>
      <rPr>
        <b/>
        <sz val="10"/>
        <rFont val="Times New Roman"/>
        <family val="1"/>
      </rPr>
      <t xml:space="preserve">1er cas (approximatif) : </t>
    </r>
    <r>
      <rPr>
        <sz val="10"/>
        <rFont val="Times New Roman"/>
        <family val="1"/>
      </rPr>
      <t>quand l'échéance  T tend vers l'infini avec un taux d'intérêt nonimal  i =</t>
    </r>
  </si>
  <si>
    <t>milliards</t>
  </si>
  <si>
    <t>avec un prochain dividende div1 =</t>
  </si>
  <si>
    <t>K€</t>
  </si>
  <si>
    <t>K€           et</t>
  </si>
  <si>
    <t>Flux /              t</t>
  </si>
  <si>
    <t xml:space="preserve">une VAN entre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</si>
</sst>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4" formatCode="0.000%"/>
    <numFmt numFmtId="165" formatCode="0.0000%"/>
    <numFmt numFmtId="166" formatCode="_-* #,##0.00\ [$€]_-;\-* #,##0.00\ [$€]_-;_-* &quot;-&quot;??\ [$€]_-;_-@_-"/>
    <numFmt numFmtId="167" formatCode="0.0"/>
    <numFmt numFmtId="168" formatCode="#,##0.00\ &quot;€&quot;"/>
    <numFmt numFmtId="169" formatCode="0.0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0" fontId="2" fillId="0" borderId="0" xfId="2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2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7" xfId="0" applyFont="1" applyBorder="1"/>
    <xf numFmtId="0" fontId="3" fillId="0" borderId="9" xfId="0" applyFont="1" applyBorder="1"/>
    <xf numFmtId="0" fontId="2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/>
    <xf numFmtId="0" fontId="3" fillId="0" borderId="0" xfId="0" applyFont="1" applyBorder="1"/>
    <xf numFmtId="0" fontId="3" fillId="0" borderId="1" xfId="0" applyFont="1" applyBorder="1"/>
    <xf numFmtId="167" fontId="3" fillId="0" borderId="12" xfId="0" applyNumberFormat="1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0" fontId="2" fillId="0" borderId="17" xfId="0" applyFont="1" applyBorder="1"/>
    <xf numFmtId="0" fontId="3" fillId="0" borderId="18" xfId="0" applyFont="1" applyBorder="1"/>
    <xf numFmtId="0" fontId="4" fillId="0" borderId="20" xfId="0" applyFont="1" applyBorder="1"/>
    <xf numFmtId="167" fontId="4" fillId="0" borderId="25" xfId="0" applyNumberFormat="1" applyFont="1" applyBorder="1" applyAlignment="1">
      <alignment horizontal="center"/>
    </xf>
    <xf numFmtId="167" fontId="4" fillId="0" borderId="22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0" fontId="4" fillId="0" borderId="8" xfId="0" applyFont="1" applyBorder="1"/>
    <xf numFmtId="167" fontId="2" fillId="0" borderId="12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2" xfId="0" applyFont="1" applyBorder="1"/>
    <xf numFmtId="167" fontId="4" fillId="0" borderId="11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14" xfId="0" applyFont="1" applyBorder="1"/>
    <xf numFmtId="0" fontId="3" fillId="0" borderId="10" xfId="0" applyFont="1" applyBorder="1"/>
    <xf numFmtId="0" fontId="4" fillId="0" borderId="7" xfId="0" applyFont="1" applyBorder="1" applyAlignment="1">
      <alignment horizontal="left" indent="1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4" xfId="0" applyFont="1" applyBorder="1"/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" xfId="0" applyFont="1" applyFill="1" applyBorder="1" applyAlignment="1">
      <alignment horizontal="left" inden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7" xfId="0" applyFont="1" applyFill="1" applyBorder="1" applyAlignment="1">
      <alignment horizontal="left" indent="1"/>
    </xf>
    <xf numFmtId="0" fontId="4" fillId="0" borderId="18" xfId="0" applyFont="1" applyBorder="1"/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9" xfId="0" applyFont="1" applyFill="1" applyBorder="1" applyAlignment="1">
      <alignment horizontal="left" indent="1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2" fontId="2" fillId="0" borderId="30" xfId="0" applyNumberFormat="1" applyFont="1" applyBorder="1" applyAlignment="1">
      <alignment horizontal="center"/>
    </xf>
    <xf numFmtId="0" fontId="3" fillId="0" borderId="17" xfId="0" applyFont="1" applyBorder="1"/>
    <xf numFmtId="0" fontId="2" fillId="0" borderId="18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/>
    <xf numFmtId="8" fontId="2" fillId="0" borderId="0" xfId="0" applyNumberFormat="1" applyFont="1" applyAlignment="1">
      <alignment horizontal="center"/>
    </xf>
    <xf numFmtId="0" fontId="2" fillId="0" borderId="19" xfId="0" applyFont="1" applyFill="1" applyBorder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67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168" fontId="3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16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2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2" fontId="7" fillId="0" borderId="0" xfId="1" applyNumberFormat="1" applyFont="1" applyAlignment="1">
      <alignment horizontal="center"/>
    </xf>
  </cellXfs>
  <cellStyles count="3">
    <cellStyle name="Euro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topLeftCell="A111" zoomScale="98" zoomScaleNormal="98" workbookViewId="0">
      <selection activeCell="C122" sqref="C122"/>
    </sheetView>
  </sheetViews>
  <sheetFormatPr baseColWidth="10" defaultRowHeight="12.75" x14ac:dyDescent="0.2"/>
  <cols>
    <col min="1" max="1" width="19.28515625" style="2" customWidth="1"/>
    <col min="2" max="2" width="19.85546875" style="2" customWidth="1"/>
    <col min="3" max="3" width="27.28515625" style="2" customWidth="1"/>
    <col min="4" max="4" width="14.42578125" style="2" customWidth="1"/>
    <col min="5" max="5" width="15.85546875" style="2" customWidth="1"/>
    <col min="6" max="6" width="15.28515625" style="2" customWidth="1"/>
    <col min="7" max="7" width="14.42578125" style="2" customWidth="1"/>
    <col min="8" max="8" width="15.28515625" style="2" customWidth="1"/>
    <col min="9" max="9" width="11.5703125" style="2" bestFit="1" customWidth="1"/>
    <col min="10" max="16384" width="11.42578125" style="2"/>
  </cols>
  <sheetData>
    <row r="1" spans="1:10" x14ac:dyDescent="0.2">
      <c r="A1" s="1" t="s">
        <v>34</v>
      </c>
    </row>
    <row r="3" spans="1:10" ht="13.5" x14ac:dyDescent="0.25">
      <c r="A3" s="3" t="s">
        <v>49</v>
      </c>
      <c r="G3" s="3"/>
    </row>
    <row r="4" spans="1:10" ht="13.5" x14ac:dyDescent="0.25">
      <c r="A4" s="1"/>
      <c r="G4" s="3"/>
      <c r="J4" s="1"/>
    </row>
    <row r="5" spans="1:10" x14ac:dyDescent="0.2">
      <c r="A5" s="2" t="s">
        <v>76</v>
      </c>
      <c r="B5" s="1" t="s">
        <v>66</v>
      </c>
      <c r="C5" s="4">
        <f>F5+(F7*(F6-F5))</f>
        <v>0.122</v>
      </c>
      <c r="D5" s="6" t="s">
        <v>75</v>
      </c>
      <c r="E5" s="2" t="s">
        <v>0</v>
      </c>
      <c r="F5" s="5">
        <v>0.08</v>
      </c>
      <c r="J5" s="1"/>
    </row>
    <row r="6" spans="1:10" x14ac:dyDescent="0.2">
      <c r="A6" s="6"/>
      <c r="E6" s="2" t="s">
        <v>1</v>
      </c>
      <c r="F6" s="5">
        <v>0.11</v>
      </c>
      <c r="J6" s="1"/>
    </row>
    <row r="7" spans="1:10" x14ac:dyDescent="0.2">
      <c r="A7" s="2" t="s">
        <v>77</v>
      </c>
      <c r="B7" s="10" t="s">
        <v>26</v>
      </c>
      <c r="C7" s="7">
        <f>C5</f>
        <v>0.122</v>
      </c>
      <c r="E7" s="2" t="s">
        <v>65</v>
      </c>
      <c r="F7" s="6">
        <v>1.4</v>
      </c>
      <c r="J7" s="1"/>
    </row>
    <row r="8" spans="1:10" x14ac:dyDescent="0.2">
      <c r="A8" s="1"/>
      <c r="B8" s="1"/>
      <c r="C8" s="7"/>
    </row>
    <row r="9" spans="1:10" ht="13.5" x14ac:dyDescent="0.25">
      <c r="A9" s="3" t="s">
        <v>40</v>
      </c>
      <c r="B9" s="1"/>
      <c r="G9" s="8"/>
    </row>
    <row r="10" spans="1:10" x14ac:dyDescent="0.2">
      <c r="A10" s="1"/>
      <c r="B10" s="1"/>
      <c r="G10" s="8"/>
    </row>
    <row r="11" spans="1:10" x14ac:dyDescent="0.2">
      <c r="A11" s="2" t="s">
        <v>35</v>
      </c>
      <c r="B11" s="7"/>
      <c r="D11" s="2" t="s">
        <v>33</v>
      </c>
      <c r="F11" s="8"/>
    </row>
    <row r="12" spans="1:10" x14ac:dyDescent="0.2">
      <c r="G12" s="8"/>
    </row>
    <row r="13" spans="1:10" x14ac:dyDescent="0.2">
      <c r="A13" s="2" t="s">
        <v>90</v>
      </c>
      <c r="C13" s="89">
        <v>61.2</v>
      </c>
      <c r="D13" s="2" t="s">
        <v>43</v>
      </c>
      <c r="E13" s="89">
        <v>600</v>
      </c>
      <c r="F13" s="2" t="s">
        <v>44</v>
      </c>
      <c r="G13" s="8"/>
      <c r="H13" s="5">
        <v>0.02</v>
      </c>
    </row>
    <row r="14" spans="1:10" x14ac:dyDescent="0.2">
      <c r="C14" s="7"/>
      <c r="D14" s="5"/>
      <c r="G14" s="8"/>
    </row>
    <row r="15" spans="1:10" x14ac:dyDescent="0.2">
      <c r="A15" s="2" t="s">
        <v>45</v>
      </c>
      <c r="B15" s="1"/>
      <c r="C15" s="7"/>
      <c r="G15" s="8"/>
    </row>
    <row r="16" spans="1:10" x14ac:dyDescent="0.2">
      <c r="A16" s="1"/>
      <c r="B16" s="1"/>
      <c r="C16" s="7"/>
      <c r="G16" s="8"/>
    </row>
    <row r="17" spans="1:13" x14ac:dyDescent="0.2">
      <c r="A17" s="9" t="s">
        <v>36</v>
      </c>
      <c r="B17" s="90">
        <f>C13/E13</f>
        <v>0.10200000000000001</v>
      </c>
      <c r="C17" s="6" t="s">
        <v>46</v>
      </c>
      <c r="D17" s="5">
        <f>H13</f>
        <v>0.02</v>
      </c>
      <c r="E17" s="6" t="s">
        <v>47</v>
      </c>
      <c r="F17" s="7">
        <f>(61.2/600)+2%</f>
        <v>0.12200000000000001</v>
      </c>
    </row>
    <row r="18" spans="1:13" x14ac:dyDescent="0.2">
      <c r="A18" s="9" t="s">
        <v>48</v>
      </c>
      <c r="B18" s="10" t="s">
        <v>26</v>
      </c>
      <c r="C18" s="7">
        <f>F17</f>
        <v>0.12200000000000001</v>
      </c>
      <c r="E18" s="6"/>
      <c r="G18" s="7"/>
    </row>
    <row r="19" spans="1:13" x14ac:dyDescent="0.2">
      <c r="B19" s="1"/>
      <c r="C19" s="7"/>
      <c r="G19" s="8"/>
    </row>
    <row r="20" spans="1:13" x14ac:dyDescent="0.2">
      <c r="A20" s="1" t="s">
        <v>24</v>
      </c>
    </row>
    <row r="22" spans="1:13" x14ac:dyDescent="0.2">
      <c r="A22" s="2" t="s">
        <v>53</v>
      </c>
    </row>
    <row r="23" spans="1:13" x14ac:dyDescent="0.2">
      <c r="A23" s="2" t="s">
        <v>72</v>
      </c>
      <c r="G23" s="1"/>
      <c r="H23" s="1"/>
      <c r="I23" s="7"/>
      <c r="M23" s="8"/>
    </row>
    <row r="24" spans="1:13" ht="13.5" x14ac:dyDescent="0.25">
      <c r="A24" s="2" t="s">
        <v>50</v>
      </c>
      <c r="G24" s="3"/>
    </row>
    <row r="25" spans="1:13" ht="13.5" x14ac:dyDescent="0.25">
      <c r="G25" s="3"/>
    </row>
    <row r="26" spans="1:13" x14ac:dyDescent="0.2">
      <c r="A26" s="2" t="s">
        <v>73</v>
      </c>
    </row>
    <row r="27" spans="1:13" x14ac:dyDescent="0.2">
      <c r="A27" s="2" t="s">
        <v>52</v>
      </c>
      <c r="C27" s="2" t="s">
        <v>68</v>
      </c>
    </row>
    <row r="28" spans="1:13" x14ac:dyDescent="0.2">
      <c r="A28" s="2" t="s">
        <v>57</v>
      </c>
      <c r="B28" s="6"/>
      <c r="D28" s="6"/>
    </row>
    <row r="29" spans="1:13" x14ac:dyDescent="0.2">
      <c r="K29" s="10"/>
    </row>
    <row r="30" spans="1:13" x14ac:dyDescent="0.2">
      <c r="A30" s="2" t="s">
        <v>71</v>
      </c>
      <c r="B30" s="6"/>
      <c r="D30" s="6"/>
    </row>
    <row r="31" spans="1:13" x14ac:dyDescent="0.2">
      <c r="B31" s="6"/>
      <c r="D31" s="6"/>
    </row>
    <row r="32" spans="1:13" s="105" customFormat="1" ht="15.75" x14ac:dyDescent="0.25">
      <c r="B32" s="106"/>
      <c r="C32" s="107" t="s">
        <v>63</v>
      </c>
      <c r="D32" s="106"/>
    </row>
    <row r="34" spans="1:15" x14ac:dyDescent="0.2">
      <c r="A34" s="2" t="s">
        <v>74</v>
      </c>
    </row>
    <row r="35" spans="1:15" x14ac:dyDescent="0.2">
      <c r="A35" s="2" t="s">
        <v>52</v>
      </c>
      <c r="C35" s="2" t="s">
        <v>54</v>
      </c>
    </row>
    <row r="36" spans="1:15" x14ac:dyDescent="0.2">
      <c r="A36" s="2" t="s">
        <v>55</v>
      </c>
      <c r="B36" s="6"/>
      <c r="D36" s="6"/>
    </row>
    <row r="37" spans="1:15" x14ac:dyDescent="0.2">
      <c r="A37" s="2" t="s">
        <v>56</v>
      </c>
    </row>
    <row r="39" spans="1:15" x14ac:dyDescent="0.2">
      <c r="A39" s="2" t="s">
        <v>70</v>
      </c>
      <c r="B39" s="6"/>
      <c r="D39" s="6"/>
      <c r="N39" s="10"/>
      <c r="O39" s="11"/>
    </row>
    <row r="40" spans="1:15" x14ac:dyDescent="0.2">
      <c r="I40" s="10"/>
      <c r="J40" s="11"/>
    </row>
    <row r="41" spans="1:15" ht="15.75" x14ac:dyDescent="0.25">
      <c r="C41" s="107" t="s">
        <v>62</v>
      </c>
      <c r="I41" s="10"/>
      <c r="J41" s="11"/>
    </row>
    <row r="42" spans="1:15" ht="18.75" x14ac:dyDescent="0.3">
      <c r="A42" s="2" t="s">
        <v>88</v>
      </c>
      <c r="B42" s="6"/>
      <c r="D42" s="12">
        <v>8.5999999999999993E-2</v>
      </c>
      <c r="E42" s="2" t="s">
        <v>59</v>
      </c>
      <c r="G42" s="12">
        <v>0.45</v>
      </c>
    </row>
    <row r="43" spans="1:15" ht="13.5" customHeight="1" x14ac:dyDescent="0.2">
      <c r="A43" s="2" t="s">
        <v>69</v>
      </c>
      <c r="D43" s="103" t="s">
        <v>58</v>
      </c>
      <c r="F43" s="104">
        <f>D42*(1-G42)</f>
        <v>4.7300000000000002E-2</v>
      </c>
    </row>
    <row r="44" spans="1:15" x14ac:dyDescent="0.2">
      <c r="C44" s="8"/>
    </row>
    <row r="45" spans="1:15" ht="18.75" x14ac:dyDescent="0.3">
      <c r="A45" s="2" t="s">
        <v>64</v>
      </c>
      <c r="B45" s="6"/>
      <c r="C45" s="6"/>
      <c r="D45" s="12">
        <v>8.5999999999999993E-2</v>
      </c>
      <c r="E45" s="2" t="s">
        <v>59</v>
      </c>
      <c r="G45" s="12">
        <v>0.45</v>
      </c>
      <c r="I45" s="6"/>
    </row>
    <row r="46" spans="1:15" ht="8.25" customHeight="1" thickBot="1" x14ac:dyDescent="0.25">
      <c r="B46" s="6"/>
      <c r="C46" s="6"/>
      <c r="D46" s="6"/>
      <c r="E46" s="12"/>
      <c r="H46" s="12"/>
      <c r="I46" s="6"/>
    </row>
    <row r="47" spans="1:15" ht="14.25" thickTop="1" thickBot="1" x14ac:dyDescent="0.25">
      <c r="A47" s="97" t="s">
        <v>93</v>
      </c>
      <c r="B47" s="94">
        <v>0</v>
      </c>
      <c r="C47" s="94">
        <v>1</v>
      </c>
      <c r="D47" s="95">
        <v>2</v>
      </c>
      <c r="E47" s="94">
        <v>3</v>
      </c>
      <c r="F47" s="96">
        <v>4</v>
      </c>
      <c r="G47" s="102" t="s">
        <v>51</v>
      </c>
      <c r="I47" s="10"/>
      <c r="J47" s="11"/>
    </row>
    <row r="48" spans="1:15" ht="13.5" thickTop="1" x14ac:dyDescent="0.2">
      <c r="A48" s="98" t="s">
        <v>60</v>
      </c>
      <c r="B48" s="53">
        <v>1</v>
      </c>
      <c r="C48" s="91">
        <f>-(1-$G$45)*$D$45</f>
        <v>-4.7300000000000002E-2</v>
      </c>
      <c r="D48" s="91">
        <f>-(1-$G$45)*$D$45</f>
        <v>-4.7300000000000002E-2</v>
      </c>
      <c r="E48" s="91">
        <f>-(1-$G$45)*$D$45</f>
        <v>-4.7300000000000002E-2</v>
      </c>
      <c r="F48" s="91">
        <f>-(1-$G$45)*$D$45-1</f>
        <v>-1.0472999999999999</v>
      </c>
      <c r="G48" s="100">
        <f>SUM(B48:F48)</f>
        <v>-0.18919999999999992</v>
      </c>
    </row>
    <row r="49" spans="1:10" ht="13.5" thickBot="1" x14ac:dyDescent="0.25">
      <c r="A49" s="99" t="s">
        <v>61</v>
      </c>
      <c r="B49" s="92">
        <f>B48/((1+$E$51)^B47)</f>
        <v>1</v>
      </c>
      <c r="C49" s="92">
        <f>C48/((1+$E$51)^C47)</f>
        <v>-4.5163754416117641E-2</v>
      </c>
      <c r="D49" s="92">
        <f>D48/((1+$E$51)^D47)</f>
        <v>-4.3123989703158255E-2</v>
      </c>
      <c r="E49" s="92">
        <f>E48/((1+$E$51)^E47)</f>
        <v>-4.1176348422761633E-2</v>
      </c>
      <c r="F49" s="93">
        <f>F48/((1+$E$51)^F47)</f>
        <v>-0.87053590745796261</v>
      </c>
      <c r="G49" s="101">
        <f>SUM(B49:F49)</f>
        <v>0</v>
      </c>
    </row>
    <row r="50" spans="1:10" ht="8.25" customHeight="1" thickTop="1" x14ac:dyDescent="0.2">
      <c r="A50" s="108"/>
      <c r="B50" s="109"/>
      <c r="C50" s="109"/>
      <c r="D50" s="109"/>
      <c r="E50" s="109"/>
      <c r="F50" s="109"/>
      <c r="G50" s="109"/>
      <c r="I50" s="10"/>
      <c r="J50" s="11"/>
    </row>
    <row r="51" spans="1:10" x14ac:dyDescent="0.2">
      <c r="A51" s="113" t="s">
        <v>78</v>
      </c>
      <c r="D51" s="10" t="s">
        <v>25</v>
      </c>
      <c r="E51" s="11">
        <v>4.7300000000000002E-2</v>
      </c>
      <c r="G51" s="109"/>
      <c r="I51" s="10"/>
      <c r="J51" s="11"/>
    </row>
    <row r="52" spans="1:10" x14ac:dyDescent="0.2">
      <c r="B52" s="108"/>
      <c r="E52" s="10"/>
      <c r="F52" s="11"/>
      <c r="G52" s="109"/>
      <c r="I52" s="10"/>
      <c r="J52" s="11"/>
    </row>
    <row r="53" spans="1:10" x14ac:dyDescent="0.2">
      <c r="A53" s="9" t="s">
        <v>79</v>
      </c>
      <c r="B53" s="84"/>
      <c r="C53" s="6">
        <v>3</v>
      </c>
      <c r="D53" s="6" t="s">
        <v>89</v>
      </c>
      <c r="E53" s="84" t="s">
        <v>27</v>
      </c>
      <c r="G53" s="6">
        <v>2</v>
      </c>
      <c r="H53" s="6" t="s">
        <v>89</v>
      </c>
      <c r="I53" s="6"/>
    </row>
    <row r="54" spans="1:10" x14ac:dyDescent="0.2">
      <c r="A54" s="1" t="s">
        <v>80</v>
      </c>
      <c r="E54" s="1" t="s">
        <v>67</v>
      </c>
      <c r="G54" s="13">
        <f>((C5*C53)+(E51*G53))/(C53+G53)</f>
        <v>9.2120000000000007E-2</v>
      </c>
      <c r="I54" s="6"/>
    </row>
    <row r="55" spans="1:10" x14ac:dyDescent="0.2">
      <c r="F55" s="12"/>
      <c r="I55" s="6"/>
    </row>
    <row r="56" spans="1:10" x14ac:dyDescent="0.2">
      <c r="A56" s="1" t="s">
        <v>28</v>
      </c>
      <c r="B56" s="1"/>
      <c r="C56" s="1"/>
      <c r="D56" s="10"/>
      <c r="E56" s="1"/>
    </row>
    <row r="57" spans="1:10" x14ac:dyDescent="0.2">
      <c r="A57" s="1"/>
      <c r="B57" s="1"/>
      <c r="C57" s="1"/>
      <c r="D57" s="10"/>
      <c r="E57" s="1"/>
    </row>
    <row r="58" spans="1:10" ht="13.5" x14ac:dyDescent="0.25">
      <c r="A58" s="3" t="s">
        <v>17</v>
      </c>
      <c r="E58" s="114" t="s">
        <v>21</v>
      </c>
      <c r="F58" s="114"/>
      <c r="G58" s="14">
        <v>0.5</v>
      </c>
    </row>
    <row r="59" spans="1:10" ht="14.25" thickBot="1" x14ac:dyDescent="0.3">
      <c r="A59" s="42"/>
      <c r="B59" s="22"/>
      <c r="C59" s="22"/>
      <c r="D59" s="22"/>
      <c r="E59" s="22"/>
      <c r="F59" s="22"/>
      <c r="G59" s="22"/>
    </row>
    <row r="60" spans="1:10" ht="15" thickTop="1" thickBot="1" x14ac:dyDescent="0.3">
      <c r="A60" s="15" t="s">
        <v>7</v>
      </c>
      <c r="B60" s="16"/>
      <c r="C60" s="17">
        <v>0</v>
      </c>
      <c r="D60" s="18">
        <v>1</v>
      </c>
      <c r="E60" s="19">
        <v>2</v>
      </c>
      <c r="F60" s="19">
        <v>3</v>
      </c>
      <c r="G60" s="20">
        <v>4</v>
      </c>
    </row>
    <row r="61" spans="1:10" ht="13.5" thickTop="1" x14ac:dyDescent="0.2">
      <c r="A61" s="21" t="s">
        <v>37</v>
      </c>
      <c r="B61" s="22"/>
      <c r="C61" s="23"/>
      <c r="D61" s="24">
        <v>60</v>
      </c>
      <c r="E61" s="25">
        <v>70</v>
      </c>
      <c r="F61" s="25">
        <v>150</v>
      </c>
      <c r="G61" s="26">
        <v>160</v>
      </c>
    </row>
    <row r="62" spans="1:10" ht="13.5" thickBot="1" x14ac:dyDescent="0.25">
      <c r="A62" s="21" t="s">
        <v>4</v>
      </c>
      <c r="B62" s="22"/>
      <c r="C62" s="23"/>
      <c r="D62" s="24">
        <f>$C$76/$G$60</f>
        <v>40</v>
      </c>
      <c r="E62" s="24">
        <f>$C$76/$G$60</f>
        <v>40</v>
      </c>
      <c r="F62" s="24">
        <f>$C$76/$G$60</f>
        <v>40</v>
      </c>
      <c r="G62" s="26">
        <f>$C$76/$G$60</f>
        <v>40</v>
      </c>
    </row>
    <row r="63" spans="1:10" ht="14.25" thickBot="1" x14ac:dyDescent="0.3">
      <c r="A63" s="27" t="s">
        <v>2</v>
      </c>
      <c r="B63" s="28"/>
      <c r="C63" s="29"/>
      <c r="D63" s="30">
        <f>D61-D62</f>
        <v>20</v>
      </c>
      <c r="E63" s="31">
        <f>E61-E62</f>
        <v>30</v>
      </c>
      <c r="F63" s="31">
        <f>F61-F62</f>
        <v>110</v>
      </c>
      <c r="G63" s="32">
        <f>G61-G62</f>
        <v>120</v>
      </c>
    </row>
    <row r="64" spans="1:10" x14ac:dyDescent="0.2">
      <c r="A64" s="21" t="s">
        <v>29</v>
      </c>
      <c r="B64" s="22"/>
      <c r="C64" s="23"/>
      <c r="D64" s="24">
        <f>D63*$C$39</f>
        <v>0</v>
      </c>
      <c r="E64" s="24">
        <f>E63*$C$39</f>
        <v>0</v>
      </c>
      <c r="F64" s="24">
        <f>F63*$C$39</f>
        <v>0</v>
      </c>
      <c r="G64" s="26">
        <f>G63*$C$39</f>
        <v>0</v>
      </c>
    </row>
    <row r="65" spans="1:7" x14ac:dyDescent="0.2">
      <c r="A65" s="21" t="s">
        <v>3</v>
      </c>
      <c r="B65" s="22"/>
      <c r="C65" s="23"/>
      <c r="D65" s="24">
        <f>D63-D64</f>
        <v>20</v>
      </c>
      <c r="E65" s="25">
        <f>E63-E64</f>
        <v>30</v>
      </c>
      <c r="F65" s="25">
        <f>F63-F64</f>
        <v>110</v>
      </c>
      <c r="G65" s="26">
        <f>G63-G64</f>
        <v>120</v>
      </c>
    </row>
    <row r="66" spans="1:7" x14ac:dyDescent="0.2">
      <c r="A66" s="21" t="s">
        <v>5</v>
      </c>
      <c r="B66" s="22"/>
      <c r="C66" s="23"/>
      <c r="D66" s="24">
        <f>D62</f>
        <v>40</v>
      </c>
      <c r="E66" s="25">
        <f>E62</f>
        <v>40</v>
      </c>
      <c r="F66" s="25">
        <f>F62</f>
        <v>40</v>
      </c>
      <c r="G66" s="26">
        <f>G62</f>
        <v>40</v>
      </c>
    </row>
    <row r="67" spans="1:7" ht="13.5" x14ac:dyDescent="0.25">
      <c r="A67" s="33" t="s">
        <v>41</v>
      </c>
      <c r="B67" s="22"/>
      <c r="C67" s="23"/>
      <c r="D67" s="34">
        <f>D65+D66</f>
        <v>60</v>
      </c>
      <c r="E67" s="35">
        <f>E65+E66</f>
        <v>70</v>
      </c>
      <c r="F67" s="35">
        <f>F65+F66</f>
        <v>150</v>
      </c>
      <c r="G67" s="36">
        <f>G65+G66</f>
        <v>160</v>
      </c>
    </row>
    <row r="68" spans="1:7" ht="14.25" thickBot="1" x14ac:dyDescent="0.3">
      <c r="A68" s="33" t="s">
        <v>38</v>
      </c>
      <c r="B68" s="22"/>
      <c r="C68" s="23"/>
      <c r="D68" s="34">
        <v>0</v>
      </c>
      <c r="E68" s="35">
        <v>0</v>
      </c>
      <c r="F68" s="35">
        <v>0</v>
      </c>
      <c r="G68" s="36">
        <v>0</v>
      </c>
    </row>
    <row r="69" spans="1:7" ht="15" thickTop="1" thickBot="1" x14ac:dyDescent="0.3">
      <c r="A69" s="15" t="s">
        <v>8</v>
      </c>
      <c r="B69" s="37"/>
      <c r="C69" s="38"/>
      <c r="D69" s="39">
        <f>D67-D68</f>
        <v>60</v>
      </c>
      <c r="E69" s="40">
        <f>E67-E68</f>
        <v>70</v>
      </c>
      <c r="F69" s="40">
        <f>F67-F68</f>
        <v>150</v>
      </c>
      <c r="G69" s="41">
        <f>G67-G68</f>
        <v>160</v>
      </c>
    </row>
    <row r="70" spans="1:7" ht="15" thickTop="1" thickBot="1" x14ac:dyDescent="0.3">
      <c r="A70" s="42"/>
      <c r="B70" s="42"/>
      <c r="C70" s="43"/>
      <c r="D70" s="85"/>
      <c r="E70" s="85"/>
      <c r="F70" s="85"/>
      <c r="G70" s="85"/>
    </row>
    <row r="71" spans="1:7" ht="15" thickTop="1" thickBot="1" x14ac:dyDescent="0.3">
      <c r="A71" s="45" t="s">
        <v>7</v>
      </c>
      <c r="B71" s="16"/>
      <c r="C71" s="46">
        <f>C69</f>
        <v>0</v>
      </c>
      <c r="D71" s="19">
        <v>1</v>
      </c>
      <c r="E71" s="19">
        <v>2</v>
      </c>
      <c r="F71" s="19">
        <v>3</v>
      </c>
      <c r="G71" s="20">
        <v>4</v>
      </c>
    </row>
    <row r="72" spans="1:7" ht="13.5" thickTop="1" x14ac:dyDescent="0.2">
      <c r="A72" s="47" t="s">
        <v>31</v>
      </c>
      <c r="B72" s="48"/>
      <c r="C72" s="49"/>
      <c r="D72" s="50">
        <f>D69</f>
        <v>60</v>
      </c>
      <c r="E72" s="50">
        <f>E69</f>
        <v>70</v>
      </c>
      <c r="F72" s="50">
        <f>F69</f>
        <v>150</v>
      </c>
      <c r="G72" s="51">
        <f>G69</f>
        <v>160</v>
      </c>
    </row>
    <row r="73" spans="1:7" x14ac:dyDescent="0.2">
      <c r="A73" s="52" t="s">
        <v>9</v>
      </c>
      <c r="B73" s="22"/>
      <c r="C73" s="49"/>
      <c r="D73" s="53"/>
      <c r="E73" s="53"/>
      <c r="F73" s="53"/>
      <c r="G73" s="54">
        <f>SUM(C77:F77)-SUM(C73:F73)</f>
        <v>60</v>
      </c>
    </row>
    <row r="74" spans="1:7" ht="13.5" thickBot="1" x14ac:dyDescent="0.25">
      <c r="A74" s="52" t="s">
        <v>10</v>
      </c>
      <c r="B74" s="22"/>
      <c r="C74" s="49"/>
      <c r="D74" s="53"/>
      <c r="E74" s="53"/>
      <c r="F74" s="53"/>
      <c r="G74" s="54">
        <f>80*(1-$C$39)</f>
        <v>80</v>
      </c>
    </row>
    <row r="75" spans="1:7" ht="14.25" thickBot="1" x14ac:dyDescent="0.3">
      <c r="A75" s="55" t="s">
        <v>11</v>
      </c>
      <c r="B75" s="56"/>
      <c r="C75" s="57">
        <f>SUM(C71:C74)</f>
        <v>0</v>
      </c>
      <c r="D75" s="58">
        <f>SUM(D72:D74)</f>
        <v>60</v>
      </c>
      <c r="E75" s="58">
        <f>SUM(E72:E74)</f>
        <v>70</v>
      </c>
      <c r="F75" s="59">
        <f>SUM(F72:F74)</f>
        <v>150</v>
      </c>
      <c r="G75" s="60">
        <f>SUM(G72:G74)</f>
        <v>300</v>
      </c>
    </row>
    <row r="76" spans="1:7" x14ac:dyDescent="0.2">
      <c r="A76" s="52" t="s">
        <v>30</v>
      </c>
      <c r="B76" s="22"/>
      <c r="C76" s="49">
        <v>160</v>
      </c>
      <c r="D76" s="53"/>
      <c r="E76" s="53"/>
      <c r="F76" s="61"/>
      <c r="G76" s="54"/>
    </row>
    <row r="77" spans="1:7" ht="13.5" thickBot="1" x14ac:dyDescent="0.25">
      <c r="A77" s="52" t="s">
        <v>12</v>
      </c>
      <c r="B77" s="22"/>
      <c r="C77" s="62">
        <v>10</v>
      </c>
      <c r="D77" s="63">
        <v>10</v>
      </c>
      <c r="E77" s="63">
        <v>20</v>
      </c>
      <c r="F77" s="61">
        <v>20</v>
      </c>
      <c r="G77" s="54">
        <v>0</v>
      </c>
    </row>
    <row r="78" spans="1:7" ht="14.25" thickBot="1" x14ac:dyDescent="0.3">
      <c r="A78" s="55" t="s">
        <v>13</v>
      </c>
      <c r="B78" s="28"/>
      <c r="C78" s="57">
        <f>SUM(C76:C77)</f>
        <v>170</v>
      </c>
      <c r="D78" s="58">
        <f>SUM(D76:D77)</f>
        <v>10</v>
      </c>
      <c r="E78" s="58">
        <f>SUM(E76:E77)</f>
        <v>20</v>
      </c>
      <c r="F78" s="59">
        <f>SUM(F76:F77)</f>
        <v>20</v>
      </c>
      <c r="G78" s="60">
        <f>SUM(G76:G77)</f>
        <v>0</v>
      </c>
    </row>
    <row r="79" spans="1:7" ht="14.25" thickBot="1" x14ac:dyDescent="0.3">
      <c r="A79" s="64" t="s">
        <v>14</v>
      </c>
      <c r="B79" s="44"/>
      <c r="C79" s="65">
        <f>C75-C78</f>
        <v>-170</v>
      </c>
      <c r="D79" s="66">
        <f>D75-D78</f>
        <v>50</v>
      </c>
      <c r="E79" s="66">
        <f>E75-E78</f>
        <v>50</v>
      </c>
      <c r="F79" s="67">
        <f>F75-F78</f>
        <v>130</v>
      </c>
      <c r="G79" s="68">
        <f>G75-G78</f>
        <v>300</v>
      </c>
    </row>
    <row r="80" spans="1:7" ht="10.5" customHeight="1" thickTop="1" thickBot="1" x14ac:dyDescent="0.3">
      <c r="A80" s="88"/>
      <c r="B80" s="48"/>
      <c r="C80" s="69"/>
      <c r="D80" s="69"/>
      <c r="E80" s="69"/>
      <c r="F80" s="69"/>
      <c r="G80" s="69"/>
    </row>
    <row r="81" spans="1:7" ht="14.25" thickTop="1" thickBot="1" x14ac:dyDescent="0.25">
      <c r="A81" s="70" t="s">
        <v>18</v>
      </c>
      <c r="B81" s="71">
        <f>NPV($G$54,D79:G79)+C79</f>
        <v>228.38583166070003</v>
      </c>
      <c r="C81" s="10" t="s">
        <v>32</v>
      </c>
    </row>
    <row r="82" spans="1:7" ht="13.5" thickTop="1" x14ac:dyDescent="0.2"/>
    <row r="83" spans="1:7" ht="13.5" x14ac:dyDescent="0.25">
      <c r="A83" s="3" t="s">
        <v>16</v>
      </c>
      <c r="E83" s="114" t="s">
        <v>22</v>
      </c>
      <c r="F83" s="114"/>
      <c r="G83" s="14">
        <v>0.5</v>
      </c>
    </row>
    <row r="84" spans="1:7" ht="14.25" thickBot="1" x14ac:dyDescent="0.3">
      <c r="A84" s="3"/>
      <c r="E84" s="83"/>
      <c r="F84" s="83"/>
      <c r="G84" s="14"/>
    </row>
    <row r="85" spans="1:7" ht="15" thickTop="1" thickBot="1" x14ac:dyDescent="0.3">
      <c r="A85" s="15" t="s">
        <v>7</v>
      </c>
      <c r="B85" s="16"/>
      <c r="C85" s="17">
        <v>0</v>
      </c>
      <c r="D85" s="18">
        <v>1</v>
      </c>
      <c r="E85" s="19">
        <v>2</v>
      </c>
      <c r="F85" s="19">
        <v>3</v>
      </c>
      <c r="G85" s="20">
        <v>4</v>
      </c>
    </row>
    <row r="86" spans="1:7" ht="13.5" thickTop="1" x14ac:dyDescent="0.2">
      <c r="A86" s="21" t="s">
        <v>37</v>
      </c>
      <c r="B86" s="22"/>
      <c r="C86" s="23"/>
      <c r="D86" s="61">
        <v>50</v>
      </c>
      <c r="E86" s="53">
        <v>50</v>
      </c>
      <c r="F86" s="53">
        <v>130</v>
      </c>
      <c r="G86" s="54">
        <v>70</v>
      </c>
    </row>
    <row r="87" spans="1:7" ht="13.5" thickBot="1" x14ac:dyDescent="0.25">
      <c r="A87" s="21" t="s">
        <v>4</v>
      </c>
      <c r="B87" s="22"/>
      <c r="C87" s="23"/>
      <c r="D87" s="61">
        <f>$C$76/$G$60</f>
        <v>40</v>
      </c>
      <c r="E87" s="61">
        <f>$C$76/$G$60</f>
        <v>40</v>
      </c>
      <c r="F87" s="61">
        <f>$C$76/$G$60</f>
        <v>40</v>
      </c>
      <c r="G87" s="54">
        <f>$C$76/$G$60</f>
        <v>40</v>
      </c>
    </row>
    <row r="88" spans="1:7" ht="14.25" thickBot="1" x14ac:dyDescent="0.3">
      <c r="A88" s="72" t="s">
        <v>2</v>
      </c>
      <c r="B88" s="73"/>
      <c r="C88" s="29"/>
      <c r="D88" s="59">
        <f>D86-D87</f>
        <v>10</v>
      </c>
      <c r="E88" s="58">
        <f>E86-E87</f>
        <v>10</v>
      </c>
      <c r="F88" s="58">
        <f>F86-F87</f>
        <v>90</v>
      </c>
      <c r="G88" s="60">
        <f>G86-G87</f>
        <v>30</v>
      </c>
    </row>
    <row r="89" spans="1:7" x14ac:dyDescent="0.2">
      <c r="A89" s="21" t="s">
        <v>6</v>
      </c>
      <c r="B89" s="22"/>
      <c r="C89" s="23"/>
      <c r="D89" s="61">
        <f>D88*$C$39</f>
        <v>0</v>
      </c>
      <c r="E89" s="61">
        <f>E88*$C$39</f>
        <v>0</v>
      </c>
      <c r="F89" s="61">
        <f>F88*$C$39</f>
        <v>0</v>
      </c>
      <c r="G89" s="54">
        <f>G88*$C$39</f>
        <v>0</v>
      </c>
    </row>
    <row r="90" spans="1:7" x14ac:dyDescent="0.2">
      <c r="A90" s="74" t="s">
        <v>3</v>
      </c>
      <c r="B90" s="75"/>
      <c r="C90" s="76"/>
      <c r="D90" s="77">
        <f>D88-D89</f>
        <v>10</v>
      </c>
      <c r="E90" s="78">
        <f>E88-E89</f>
        <v>10</v>
      </c>
      <c r="F90" s="78">
        <f>F88-F89</f>
        <v>90</v>
      </c>
      <c r="G90" s="79">
        <f>G88-G89</f>
        <v>30</v>
      </c>
    </row>
    <row r="91" spans="1:7" x14ac:dyDescent="0.2">
      <c r="A91" s="21" t="s">
        <v>5</v>
      </c>
      <c r="B91" s="22"/>
      <c r="C91" s="23"/>
      <c r="D91" s="61">
        <f>D87</f>
        <v>40</v>
      </c>
      <c r="E91" s="53">
        <f>E87</f>
        <v>40</v>
      </c>
      <c r="F91" s="53">
        <f>F87</f>
        <v>40</v>
      </c>
      <c r="G91" s="54">
        <f>G87</f>
        <v>40</v>
      </c>
    </row>
    <row r="92" spans="1:7" ht="13.5" x14ac:dyDescent="0.25">
      <c r="A92" s="33" t="s">
        <v>39</v>
      </c>
      <c r="B92" s="22"/>
      <c r="C92" s="23"/>
      <c r="D92" s="34">
        <f>D90+D91</f>
        <v>50</v>
      </c>
      <c r="E92" s="35">
        <f>E90+E91</f>
        <v>50</v>
      </c>
      <c r="F92" s="35">
        <f>F90+F91</f>
        <v>130</v>
      </c>
      <c r="G92" s="36">
        <f>G90+G91</f>
        <v>70</v>
      </c>
    </row>
    <row r="93" spans="1:7" ht="14.25" thickBot="1" x14ac:dyDescent="0.3">
      <c r="A93" s="33" t="s">
        <v>38</v>
      </c>
      <c r="B93" s="22"/>
      <c r="C93" s="23"/>
      <c r="D93" s="34">
        <v>0</v>
      </c>
      <c r="E93" s="35">
        <v>0</v>
      </c>
      <c r="F93" s="35">
        <v>0</v>
      </c>
      <c r="G93" s="36">
        <v>0</v>
      </c>
    </row>
    <row r="94" spans="1:7" ht="15" thickTop="1" thickBot="1" x14ac:dyDescent="0.3">
      <c r="A94" s="15" t="s">
        <v>8</v>
      </c>
      <c r="B94" s="37"/>
      <c r="C94" s="38"/>
      <c r="D94" s="39">
        <f>D92-D93</f>
        <v>50</v>
      </c>
      <c r="E94" s="40">
        <f>E92-E93</f>
        <v>50</v>
      </c>
      <c r="F94" s="40">
        <f>F92-F93</f>
        <v>130</v>
      </c>
      <c r="G94" s="41">
        <f>G92-G93</f>
        <v>70</v>
      </c>
    </row>
    <row r="95" spans="1:7" ht="14.25" thickTop="1" x14ac:dyDescent="0.25">
      <c r="A95" s="42"/>
      <c r="B95" s="42"/>
      <c r="C95" s="43"/>
      <c r="D95" s="85"/>
      <c r="E95" s="85"/>
      <c r="F95" s="85"/>
      <c r="G95" s="85"/>
    </row>
    <row r="96" spans="1:7" ht="13.5" thickBot="1" x14ac:dyDescent="0.25">
      <c r="C96" s="44"/>
    </row>
    <row r="97" spans="1:7" ht="15" thickTop="1" thickBot="1" x14ac:dyDescent="0.3">
      <c r="A97" s="15" t="s">
        <v>7</v>
      </c>
      <c r="B97" s="16"/>
      <c r="C97" s="80"/>
      <c r="D97" s="19">
        <v>1</v>
      </c>
      <c r="E97" s="19">
        <v>2</v>
      </c>
      <c r="F97" s="19">
        <v>3</v>
      </c>
      <c r="G97" s="20">
        <v>4</v>
      </c>
    </row>
    <row r="98" spans="1:7" ht="13.5" thickTop="1" x14ac:dyDescent="0.2">
      <c r="A98" s="47" t="s">
        <v>31</v>
      </c>
      <c r="B98" s="48"/>
      <c r="C98" s="49">
        <f>C94</f>
        <v>0</v>
      </c>
      <c r="D98" s="50">
        <f>D94</f>
        <v>50</v>
      </c>
      <c r="E98" s="50">
        <f>E94</f>
        <v>50</v>
      </c>
      <c r="F98" s="50">
        <f>F94</f>
        <v>130</v>
      </c>
      <c r="G98" s="51">
        <f>G94</f>
        <v>70</v>
      </c>
    </row>
    <row r="99" spans="1:7" x14ac:dyDescent="0.2">
      <c r="A99" s="52" t="s">
        <v>9</v>
      </c>
      <c r="B99" s="22"/>
      <c r="C99" s="49"/>
      <c r="D99" s="53"/>
      <c r="E99" s="53"/>
      <c r="F99" s="53"/>
      <c r="G99" s="54">
        <f>SUM(C103:G103)</f>
        <v>140</v>
      </c>
    </row>
    <row r="100" spans="1:7" ht="13.5" thickBot="1" x14ac:dyDescent="0.25">
      <c r="A100" s="52" t="s">
        <v>10</v>
      </c>
      <c r="B100" s="22"/>
      <c r="C100" s="49"/>
      <c r="D100" s="53"/>
      <c r="E100" s="53"/>
      <c r="F100" s="53"/>
      <c r="G100" s="54">
        <f>80*(1-$C$39)</f>
        <v>80</v>
      </c>
    </row>
    <row r="101" spans="1:7" ht="14.25" thickBot="1" x14ac:dyDescent="0.3">
      <c r="A101" s="55" t="s">
        <v>11</v>
      </c>
      <c r="B101" s="56"/>
      <c r="C101" s="57">
        <f>SUM(C98:C100)</f>
        <v>0</v>
      </c>
      <c r="D101" s="58">
        <f>SUM(D98:D100)</f>
        <v>50</v>
      </c>
      <c r="E101" s="58">
        <f>SUM(E98:E100)</f>
        <v>50</v>
      </c>
      <c r="F101" s="59">
        <f>SUM(F98:F100)</f>
        <v>130</v>
      </c>
      <c r="G101" s="60">
        <f>SUM(G98:G100)</f>
        <v>290</v>
      </c>
    </row>
    <row r="102" spans="1:7" x14ac:dyDescent="0.2">
      <c r="A102" s="52" t="s">
        <v>15</v>
      </c>
      <c r="B102" s="22"/>
      <c r="C102" s="49">
        <v>160</v>
      </c>
      <c r="D102" s="53"/>
      <c r="E102" s="53"/>
      <c r="F102" s="61"/>
      <c r="G102" s="54"/>
    </row>
    <row r="103" spans="1:7" ht="13.5" thickBot="1" x14ac:dyDescent="0.25">
      <c r="A103" s="52" t="s">
        <v>12</v>
      </c>
      <c r="B103" s="22"/>
      <c r="C103" s="62">
        <v>30</v>
      </c>
      <c r="D103" s="63">
        <v>20</v>
      </c>
      <c r="E103" s="63">
        <v>40</v>
      </c>
      <c r="F103" s="61">
        <v>50</v>
      </c>
      <c r="G103" s="54">
        <v>0</v>
      </c>
    </row>
    <row r="104" spans="1:7" ht="14.25" thickBot="1" x14ac:dyDescent="0.3">
      <c r="A104" s="55" t="s">
        <v>13</v>
      </c>
      <c r="B104" s="28"/>
      <c r="C104" s="57">
        <f>SUM(C102:C103)</f>
        <v>190</v>
      </c>
      <c r="D104" s="58">
        <f>SUM(D102:D103)</f>
        <v>20</v>
      </c>
      <c r="E104" s="58">
        <f>SUM(E102:E103)</f>
        <v>40</v>
      </c>
      <c r="F104" s="59">
        <f>SUM(F102:F103)</f>
        <v>50</v>
      </c>
      <c r="G104" s="60">
        <f>SUM(G102:G103)</f>
        <v>0</v>
      </c>
    </row>
    <row r="105" spans="1:7" ht="13.5" thickBot="1" x14ac:dyDescent="0.25">
      <c r="A105" s="82" t="s">
        <v>14</v>
      </c>
      <c r="B105" s="44"/>
      <c r="C105" s="65">
        <f>C101-C104</f>
        <v>-190</v>
      </c>
      <c r="D105" s="66">
        <f>D101-D104</f>
        <v>30</v>
      </c>
      <c r="E105" s="66">
        <f>E101-E104</f>
        <v>10</v>
      </c>
      <c r="F105" s="67">
        <f>F101-F104</f>
        <v>80</v>
      </c>
      <c r="G105" s="68">
        <f>G101-G104</f>
        <v>290</v>
      </c>
    </row>
    <row r="106" spans="1:7" ht="14.25" thickTop="1" thickBot="1" x14ac:dyDescent="0.25">
      <c r="A106" s="87"/>
      <c r="B106" s="48"/>
      <c r="C106" s="69"/>
      <c r="D106" s="69"/>
      <c r="E106" s="69"/>
      <c r="F106" s="69"/>
      <c r="G106" s="69"/>
    </row>
    <row r="107" spans="1:7" ht="14.25" thickTop="1" thickBot="1" x14ac:dyDescent="0.25">
      <c r="A107" s="70" t="s">
        <v>19</v>
      </c>
      <c r="B107" s="71">
        <f>NPV($G$54,D105:G105)+C105</f>
        <v>111.12203412072694</v>
      </c>
      <c r="C107" s="10" t="s">
        <v>32</v>
      </c>
    </row>
    <row r="108" spans="1:7" ht="13.5" thickTop="1" x14ac:dyDescent="0.2">
      <c r="A108" s="75"/>
      <c r="B108" s="86"/>
      <c r="C108" s="1"/>
    </row>
    <row r="109" spans="1:7" ht="15.75" x14ac:dyDescent="0.25">
      <c r="A109" s="107" t="s">
        <v>23</v>
      </c>
      <c r="B109" s="81"/>
    </row>
    <row r="111" spans="1:7" s="105" customFormat="1" ht="15.75" x14ac:dyDescent="0.25">
      <c r="A111" s="107" t="s">
        <v>20</v>
      </c>
      <c r="B111" s="110">
        <f>(G58*B81)+(G83*B107)</f>
        <v>169.75393289071349</v>
      </c>
      <c r="C111" s="107" t="s">
        <v>32</v>
      </c>
      <c r="D111" s="105" t="s">
        <v>83</v>
      </c>
    </row>
    <row r="112" spans="1:7" s="105" customFormat="1" ht="15.75" x14ac:dyDescent="0.25">
      <c r="A112" s="107" t="s">
        <v>82</v>
      </c>
      <c r="D112" s="115">
        <f>(G58*((B81-B111)^2)+(G83*((B107-B111)^2)))</f>
        <v>3437.69955337395</v>
      </c>
      <c r="E112" s="107" t="s">
        <v>42</v>
      </c>
    </row>
    <row r="113" spans="1:8" s="105" customFormat="1" ht="15.75" x14ac:dyDescent="0.25">
      <c r="A113" s="107" t="s">
        <v>81</v>
      </c>
      <c r="D113" s="111">
        <f>SQRT(D112)</f>
        <v>58.631898769986549</v>
      </c>
      <c r="E113" s="107" t="s">
        <v>32</v>
      </c>
    </row>
    <row r="114" spans="1:8" s="105" customFormat="1" ht="15.75" x14ac:dyDescent="0.25"/>
    <row r="115" spans="1:8" s="105" customFormat="1" ht="15.75" x14ac:dyDescent="0.25">
      <c r="A115" s="105" t="s">
        <v>84</v>
      </c>
      <c r="C115" s="112">
        <v>1.96</v>
      </c>
      <c r="D115" s="105" t="s">
        <v>94</v>
      </c>
      <c r="E115" s="111">
        <f>$B$111-(C115*$D$113)</f>
        <v>54.83541130153985</v>
      </c>
      <c r="F115" s="112" t="s">
        <v>92</v>
      </c>
      <c r="G115" s="111">
        <f>$B$111+(C115*$D$113)</f>
        <v>284.67245447988711</v>
      </c>
      <c r="H115" s="105" t="s">
        <v>91</v>
      </c>
    </row>
    <row r="116" spans="1:8" s="105" customFormat="1" ht="15.75" x14ac:dyDescent="0.25">
      <c r="A116" s="105" t="s">
        <v>85</v>
      </c>
      <c r="C116" s="112"/>
      <c r="E116" s="111"/>
      <c r="F116" s="112"/>
      <c r="G116" s="111"/>
    </row>
    <row r="117" spans="1:8" s="105" customFormat="1" ht="15.75" x14ac:dyDescent="0.25">
      <c r="A117" s="105" t="s">
        <v>87</v>
      </c>
      <c r="C117" s="112">
        <v>3</v>
      </c>
      <c r="D117" s="105" t="s">
        <v>94</v>
      </c>
      <c r="E117" s="111">
        <f>$B$111-(C117*$D$113)</f>
        <v>-6.1417634192461605</v>
      </c>
      <c r="F117" s="112" t="s">
        <v>92</v>
      </c>
      <c r="G117" s="111">
        <f>$B$111+(C117*$D$113)</f>
        <v>345.64962920067313</v>
      </c>
      <c r="H117" s="105" t="s">
        <v>91</v>
      </c>
    </row>
    <row r="118" spans="1:8" s="105" customFormat="1" ht="15.75" x14ac:dyDescent="0.25">
      <c r="A118" s="105" t="s">
        <v>86</v>
      </c>
    </row>
  </sheetData>
  <mergeCells count="2">
    <mergeCell ref="E58:F58"/>
    <mergeCell ref="E83:F83"/>
  </mergeCells>
  <phoneticPr fontId="0" type="noConversion"/>
  <pageMargins left="0.39370078740157483" right="0.39370078740157483" top="0.59055118110236227" bottom="0.39370078740157483" header="0.31496062992125984" footer="0.31496062992125984"/>
  <pageSetup paperSize="9" orientation="landscape" r:id="rId1"/>
  <headerFooter alignWithMargins="0">
    <oddHeader>&amp;CCas RAMEL (Auteur du corrigé : Jean-François Gueugnon)&amp;R&amp;P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Dette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gueugnon</cp:lastModifiedBy>
  <cp:lastPrinted>2023-03-18T08:03:43Z</cp:lastPrinted>
  <dcterms:created xsi:type="dcterms:W3CDTF">1996-10-21T11:03:58Z</dcterms:created>
  <dcterms:modified xsi:type="dcterms:W3CDTF">2023-03-18T08:04:07Z</dcterms:modified>
</cp:coreProperties>
</file>